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grenier/Documents/Recherche CREAD/Képa/Supélec-Février2020/Feuilles calcul V2/"/>
    </mc:Choice>
  </mc:AlternateContent>
  <xr:revisionPtr revIDLastSave="0" documentId="13_ncr:1_{DC57DD48-F0F0-3B4C-AB65-C2B38158EF20}" xr6:coauthVersionLast="45" xr6:coauthVersionMax="45" xr10:uidLastSave="{00000000-0000-0000-0000-000000000000}"/>
  <bookViews>
    <workbookView xWindow="0" yWindow="460" windowWidth="28800" windowHeight="16580" tabRatio="500" firstSheet="1" activeTab="1" xr2:uid="{00000000-000D-0000-FFFF-FFFF00000000}"/>
  </bookViews>
  <sheets>
    <sheet name="NérifsV2 (2)" sheetId="16" r:id="rId1"/>
    <sheet name="Annuel" sheetId="17" r:id="rId2"/>
    <sheet name="Mensuel 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7" l="1"/>
  <c r="E10" i="17"/>
  <c r="H7" i="17"/>
  <c r="E11" i="17" l="1"/>
  <c r="E25" i="17"/>
  <c r="E24" i="17"/>
  <c r="C16" i="14"/>
  <c r="D16" i="14" s="1"/>
  <c r="E16" i="14" s="1"/>
  <c r="F16" i="14" s="1"/>
  <c r="G16" i="14" s="1"/>
  <c r="H16" i="14" s="1"/>
  <c r="I16" i="14" s="1"/>
  <c r="J16" i="14" s="1"/>
  <c r="N25" i="17" l="1"/>
  <c r="J25" i="17"/>
  <c r="B18" i="14"/>
  <c r="K16" i="14"/>
  <c r="L16" i="14" s="1"/>
  <c r="M16" i="14" s="1"/>
  <c r="N16" i="14" s="1"/>
  <c r="E20" i="17" l="1"/>
  <c r="E26" i="17" l="1"/>
  <c r="E19" i="17" l="1"/>
  <c r="B1" i="14"/>
  <c r="E18" i="17"/>
  <c r="B14" i="14" l="1"/>
  <c r="Q16" i="14"/>
  <c r="L14" i="14" l="1"/>
  <c r="H14" i="14"/>
  <c r="P16" i="14"/>
  <c r="R16" i="14" s="1"/>
  <c r="J26" i="17"/>
  <c r="J24" i="17"/>
  <c r="J15" i="17"/>
  <c r="N20" i="17"/>
  <c r="J20" i="17"/>
  <c r="J19" i="17"/>
  <c r="J18" i="17"/>
  <c r="E14" i="17"/>
  <c r="J14" i="17" s="1"/>
  <c r="E13" i="17"/>
  <c r="J13" i="17" s="1"/>
  <c r="E12" i="17"/>
  <c r="J12" i="17" s="1"/>
  <c r="J11" i="17"/>
  <c r="J10" i="17"/>
  <c r="A5" i="17"/>
  <c r="J4" i="17"/>
  <c r="E4" i="17"/>
  <c r="E7" i="17" s="1"/>
  <c r="N10" i="17" l="1"/>
  <c r="N14" i="17"/>
  <c r="N12" i="17"/>
  <c r="N26" i="17"/>
  <c r="N11" i="17"/>
  <c r="N13" i="17"/>
  <c r="N15" i="17"/>
  <c r="N19" i="17"/>
  <c r="N24" i="17"/>
  <c r="J28" i="17"/>
  <c r="J31" i="17" s="1"/>
  <c r="N18" i="17"/>
  <c r="E28" i="17"/>
  <c r="G25" i="17" l="1"/>
  <c r="G18" i="17"/>
  <c r="G12" i="17"/>
  <c r="G24" i="17"/>
  <c r="G11" i="17"/>
  <c r="G20" i="17"/>
  <c r="G14" i="17"/>
  <c r="G13" i="17"/>
  <c r="G15" i="17"/>
  <c r="J30" i="17"/>
  <c r="G10" i="17"/>
  <c r="E30" i="17"/>
  <c r="G26" i="17"/>
  <c r="G19" i="17"/>
  <c r="N28" i="17"/>
  <c r="N30" i="17" s="1"/>
  <c r="N31" i="17" l="1"/>
  <c r="B24" i="14"/>
  <c r="B9" i="14" l="1"/>
  <c r="D9" i="14" l="1"/>
  <c r="H9" i="14"/>
  <c r="L9" i="14"/>
  <c r="J9" i="14"/>
  <c r="N9" i="14"/>
  <c r="C9" i="14"/>
  <c r="E9" i="14"/>
  <c r="I9" i="14"/>
  <c r="M9" i="14"/>
  <c r="F9" i="14"/>
  <c r="K9" i="14"/>
  <c r="G9" i="14"/>
  <c r="B12" i="14" l="1"/>
  <c r="B17" i="14"/>
  <c r="B7" i="14"/>
  <c r="B5" i="14"/>
  <c r="B16" i="14" l="1"/>
  <c r="B11" i="14"/>
  <c r="B10" i="14"/>
  <c r="B19" i="14"/>
  <c r="B21" i="14" l="1"/>
  <c r="D32" i="16"/>
  <c r="M32" i="16" s="1"/>
  <c r="D29" i="16"/>
  <c r="M29" i="16" s="1"/>
  <c r="D25" i="16"/>
  <c r="M25" i="16" s="1"/>
  <c r="D23" i="16"/>
  <c r="M23" i="16" s="1"/>
  <c r="D20" i="16"/>
  <c r="M20" i="16" s="1"/>
  <c r="D19" i="16"/>
  <c r="M19" i="16" s="1"/>
  <c r="D15" i="16"/>
  <c r="M15" i="16" s="1"/>
  <c r="D14" i="16"/>
  <c r="M14" i="16" s="1"/>
  <c r="D13" i="16"/>
  <c r="M13" i="16" s="1"/>
  <c r="D12" i="16"/>
  <c r="M12" i="16" s="1"/>
  <c r="I7" i="16"/>
  <c r="A5" i="16"/>
  <c r="K4" i="16"/>
  <c r="F4" i="16"/>
  <c r="F9" i="16" s="1"/>
  <c r="M10" i="14"/>
  <c r="B8" i="14"/>
  <c r="M6" i="14"/>
  <c r="K6" i="14"/>
  <c r="H6" i="14"/>
  <c r="F6" i="14"/>
  <c r="B4" i="14"/>
  <c r="D6" i="14"/>
  <c r="N6" i="14"/>
  <c r="L6" i="14"/>
  <c r="J6" i="14"/>
  <c r="I6" i="14"/>
  <c r="G6" i="14"/>
  <c r="E6" i="14"/>
  <c r="C6" i="14"/>
  <c r="K5" i="14"/>
  <c r="B23" i="14"/>
  <c r="M11" i="14"/>
  <c r="E17" i="14" l="1"/>
  <c r="N14" i="14"/>
  <c r="M35" i="16"/>
  <c r="D35" i="16"/>
  <c r="D37" i="16" s="1"/>
  <c r="F13" i="16"/>
  <c r="F15" i="16"/>
  <c r="F19" i="16"/>
  <c r="F20" i="16"/>
  <c r="F25" i="16"/>
  <c r="F29" i="16"/>
  <c r="F32" i="16"/>
  <c r="I12" i="16"/>
  <c r="I13" i="16"/>
  <c r="I14" i="16"/>
  <c r="I15" i="16"/>
  <c r="I19" i="16"/>
  <c r="I20" i="16"/>
  <c r="I23" i="16"/>
  <c r="I25" i="16"/>
  <c r="I29" i="16"/>
  <c r="I32" i="16"/>
  <c r="B6" i="14"/>
  <c r="K12" i="14"/>
  <c r="H12" i="14"/>
  <c r="I12" i="14"/>
  <c r="D12" i="14"/>
  <c r="L12" i="14"/>
  <c r="N10" i="14"/>
  <c r="D5" i="14"/>
  <c r="M12" i="14"/>
  <c r="F10" i="14"/>
  <c r="J10" i="14"/>
  <c r="E12" i="14"/>
  <c r="F11" i="14"/>
  <c r="N11" i="14"/>
  <c r="J11" i="14"/>
  <c r="H5" i="14"/>
  <c r="C10" i="14"/>
  <c r="G10" i="14"/>
  <c r="K10" i="14"/>
  <c r="C11" i="14"/>
  <c r="G11" i="14"/>
  <c r="K11" i="14"/>
  <c r="F12" i="14"/>
  <c r="J12" i="14"/>
  <c r="N12" i="14"/>
  <c r="L5" i="14"/>
  <c r="D10" i="14"/>
  <c r="H10" i="14"/>
  <c r="L10" i="14"/>
  <c r="D11" i="14"/>
  <c r="H11" i="14"/>
  <c r="L11" i="14"/>
  <c r="F14" i="14"/>
  <c r="C12" i="14"/>
  <c r="G12" i="14"/>
  <c r="E10" i="14"/>
  <c r="I10" i="14"/>
  <c r="E11" i="14"/>
  <c r="I11" i="14"/>
  <c r="E5" i="14"/>
  <c r="I5" i="14"/>
  <c r="M5" i="14"/>
  <c r="F5" i="14"/>
  <c r="J5" i="14"/>
  <c r="N5" i="14"/>
  <c r="C5" i="14"/>
  <c r="G5" i="14"/>
  <c r="J14" i="14" l="1"/>
  <c r="K14" i="14"/>
  <c r="M14" i="14"/>
  <c r="C14" i="14"/>
  <c r="G14" i="14"/>
  <c r="E14" i="14"/>
  <c r="D14" i="14"/>
  <c r="I17" i="14"/>
  <c r="M17" i="14"/>
  <c r="K17" i="14"/>
  <c r="D17" i="14"/>
  <c r="N17" i="14"/>
  <c r="C17" i="14"/>
  <c r="H17" i="14"/>
  <c r="F17" i="14"/>
  <c r="L17" i="14"/>
  <c r="J17" i="14"/>
  <c r="G17" i="14"/>
  <c r="I14" i="14"/>
  <c r="F12" i="16"/>
  <c r="I35" i="16"/>
  <c r="F23" i="16"/>
  <c r="F14" i="16"/>
  <c r="M38" i="16"/>
  <c r="M37" i="16"/>
  <c r="P19" i="14"/>
  <c r="I38" i="16" l="1"/>
  <c r="I37" i="16"/>
  <c r="L24" i="14" l="1"/>
  <c r="N24" i="14"/>
  <c r="I24" i="14"/>
  <c r="M24" i="14"/>
  <c r="C24" i="14"/>
  <c r="D24" i="14"/>
  <c r="F24" i="14"/>
  <c r="G24" i="14"/>
  <c r="H24" i="14"/>
  <c r="J24" i="14"/>
  <c r="K24" i="14"/>
  <c r="E24" i="14"/>
  <c r="I7" i="14"/>
  <c r="I21" i="14" s="1"/>
  <c r="F7" i="14"/>
  <c r="F21" i="14" s="1"/>
  <c r="K7" i="14"/>
  <c r="K21" i="14" s="1"/>
  <c r="D7" i="14"/>
  <c r="D21" i="14" s="1"/>
  <c r="L7" i="14"/>
  <c r="L21" i="14" s="1"/>
  <c r="J7" i="14"/>
  <c r="J21" i="14" s="1"/>
  <c r="H7" i="14"/>
  <c r="H21" i="14" s="1"/>
  <c r="M7" i="14"/>
  <c r="M21" i="14" s="1"/>
  <c r="N7" i="14"/>
  <c r="N21" i="14" s="1"/>
  <c r="C7" i="14"/>
  <c r="C21" i="14" s="1"/>
  <c r="E7" i="14"/>
  <c r="E21" i="14" s="1"/>
  <c r="G7" i="14"/>
  <c r="G21" i="14" s="1"/>
  <c r="D25" i="14" l="1"/>
  <c r="I25" i="14"/>
  <c r="N25" i="14"/>
  <c r="J25" i="14"/>
  <c r="E25" i="14"/>
  <c r="L25" i="14"/>
  <c r="F25" i="14"/>
  <c r="K25" i="14"/>
  <c r="H25" i="14"/>
  <c r="G25" i="14"/>
  <c r="M25" i="14"/>
  <c r="C25" i="14" l="1"/>
  <c r="P18" i="14"/>
</calcChain>
</file>

<file path=xl/sharedStrings.xml><?xml version="1.0" encoding="utf-8"?>
<sst xmlns="http://schemas.openxmlformats.org/spreadsheetml/2006/main" count="268" uniqueCount="107">
  <si>
    <t>Communauté :</t>
  </si>
  <si>
    <t>Nombre de foyers</t>
  </si>
  <si>
    <t>Consommation par foyer</t>
  </si>
  <si>
    <t>kW.h/an</t>
  </si>
  <si>
    <t>Consommaton totale</t>
  </si>
  <si>
    <t>MW.h/an</t>
  </si>
  <si>
    <t>Production annuelle</t>
  </si>
  <si>
    <t>Nombre</t>
  </si>
  <si>
    <t>€/an</t>
  </si>
  <si>
    <t>Barrage hydroélectrique</t>
  </si>
  <si>
    <t>Débit (m3/s)</t>
  </si>
  <si>
    <t>Dénivelé (m)</t>
  </si>
  <si>
    <t>€ /MW.h</t>
  </si>
  <si>
    <t>Usine marémotrice</t>
  </si>
  <si>
    <t>Surface</t>
  </si>
  <si>
    <t>Marnage (m)</t>
  </si>
  <si>
    <t>Géothermie</t>
  </si>
  <si>
    <t>Masse entrante (t)</t>
  </si>
  <si>
    <t>t .CO2/a</t>
  </si>
  <si>
    <t>Taux de couverture</t>
  </si>
  <si>
    <t>Eolienne 2MW</t>
  </si>
  <si>
    <t>€/foyer/an</t>
  </si>
  <si>
    <t>€/MW.h</t>
  </si>
  <si>
    <t>hab/km2</t>
  </si>
  <si>
    <t>Nérifs</t>
  </si>
  <si>
    <t>ha</t>
  </si>
  <si>
    <t>Biomasse combustion</t>
  </si>
  <si>
    <t>Biomasse méthanisation</t>
  </si>
  <si>
    <t>Nombre d'untés</t>
  </si>
  <si>
    <t>Hydrolienne 1MW</t>
  </si>
  <si>
    <t>kg CO2/MW.h</t>
  </si>
  <si>
    <t>PCI (MW.h/t)</t>
  </si>
  <si>
    <t>Photovoltaique (nbr de toits)</t>
  </si>
  <si>
    <t>Photovoltaique sol (ha)</t>
  </si>
  <si>
    <t>Géothermie (MW)</t>
  </si>
  <si>
    <t>Autres consommations</t>
  </si>
  <si>
    <t>Scieries</t>
  </si>
  <si>
    <t>Coût total</t>
  </si>
  <si>
    <t>km2, soit</t>
  </si>
  <si>
    <t>par village</t>
  </si>
  <si>
    <t>kg C02/hab</t>
  </si>
  <si>
    <t>Coût par MW.h</t>
  </si>
  <si>
    <t>Coût par foyer</t>
  </si>
  <si>
    <t>Nombre d'habitants</t>
  </si>
  <si>
    <t>Coût annuel</t>
  </si>
  <si>
    <t>Emissions annuelles</t>
  </si>
  <si>
    <t>CO2 émis par MW.h</t>
  </si>
  <si>
    <t>Emissions totales CO2</t>
  </si>
  <si>
    <t>Surface estuaire (ha)</t>
  </si>
  <si>
    <t>Part</t>
  </si>
  <si>
    <t>Janvier</t>
  </si>
  <si>
    <t>Février</t>
  </si>
  <si>
    <t>Mars</t>
  </si>
  <si>
    <t>Avril</t>
  </si>
  <si>
    <t>Année</t>
  </si>
  <si>
    <t xml:space="preserve">Mai </t>
  </si>
  <si>
    <t>Juin</t>
  </si>
  <si>
    <t>Juillet</t>
  </si>
  <si>
    <t>Aout</t>
  </si>
  <si>
    <t>Septembre</t>
  </si>
  <si>
    <t>Octobre</t>
  </si>
  <si>
    <t>Novembre</t>
  </si>
  <si>
    <t>Décembre</t>
  </si>
  <si>
    <t>Consommation</t>
  </si>
  <si>
    <t>Eolien</t>
  </si>
  <si>
    <t>Hydrolien</t>
  </si>
  <si>
    <t>Photovoltaïque toit</t>
  </si>
  <si>
    <t>Photovoltaïque sol</t>
  </si>
  <si>
    <t>Hydroélectrique</t>
  </si>
  <si>
    <t>Biomasse combution</t>
  </si>
  <si>
    <t>Total production</t>
  </si>
  <si>
    <t>Différence</t>
  </si>
  <si>
    <t>Houlomotrice 0,75 MW</t>
  </si>
  <si>
    <t>Houlomoteur</t>
  </si>
  <si>
    <t>Forage géothermique 1MW</t>
  </si>
  <si>
    <t>Nbr</t>
  </si>
  <si>
    <t>Bois</t>
  </si>
  <si>
    <t>Paille</t>
  </si>
  <si>
    <t>Type</t>
  </si>
  <si>
    <t>Lac</t>
  </si>
  <si>
    <t>Fil de l'eau</t>
  </si>
  <si>
    <t>Capacité stockage</t>
  </si>
  <si>
    <t>min</t>
  </si>
  <si>
    <t>max</t>
  </si>
  <si>
    <t>D</t>
  </si>
  <si>
    <t>Les barrages de type lac permettent le stockage à hauteur de 20% de la production annuelle. Les barrages "au fil de l'eau", non.</t>
  </si>
  <si>
    <t>Combustion</t>
  </si>
  <si>
    <t>Biomasse</t>
  </si>
  <si>
    <t>Foyers</t>
  </si>
  <si>
    <t>Taux  de couverture</t>
  </si>
  <si>
    <t>Population</t>
  </si>
  <si>
    <t>Densité de population</t>
  </si>
  <si>
    <t>Renseigner les cases entourées de rouge.</t>
  </si>
  <si>
    <t>Barrage(s) hydroélectrique(s)</t>
  </si>
  <si>
    <t>Chute (m)</t>
  </si>
  <si>
    <t>Usine marémotrice : surface estuaire (ha)</t>
  </si>
  <si>
    <t>Nbre unités méthanisation (90 MW.h/an)</t>
  </si>
  <si>
    <t>Biomasse consommée</t>
  </si>
  <si>
    <t>Productions et consommations annuelles</t>
  </si>
  <si>
    <t>Productions et consommations mensuellles (en MW.h)</t>
  </si>
  <si>
    <t>La consommation totale d'énergie issue de la biomasse ne doit pas être supérieure à celle disponible (colonne B)</t>
  </si>
  <si>
    <t>Le niveau de stock en décembre doit être positif</t>
  </si>
  <si>
    <t>Hydrolienne 0,5MW</t>
  </si>
  <si>
    <t>La différence entre le niveau min et le niveau max ne doit pas être supérieure à la capacité de stockage (colonne B).</t>
  </si>
  <si>
    <t>Consommation résidentielle</t>
  </si>
  <si>
    <t>Stockage hydroélectrique</t>
  </si>
  <si>
    <t>Képa-1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</si>
</sst>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(#,##0\)"/>
    <numFmt numFmtId="166" formatCode="0.0%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1"/>
      <name val="Symbol"/>
      <charset val="2"/>
    </font>
    <font>
      <b/>
      <sz val="16"/>
      <color theme="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</borders>
  <cellStyleXfs count="2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2">
    <xf numFmtId="0" fontId="0" fillId="0" borderId="0" xfId="0"/>
    <xf numFmtId="0" fontId="0" fillId="2" borderId="0" xfId="0" applyFill="1"/>
    <xf numFmtId="2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0" fontId="0" fillId="0" borderId="0" xfId="0" applyFill="1"/>
    <xf numFmtId="0" fontId="0" fillId="4" borderId="0" xfId="0" applyFill="1"/>
    <xf numFmtId="0" fontId="0" fillId="0" borderId="0" xfId="0" applyAlignment="1">
      <alignment horizontal="center"/>
    </xf>
    <xf numFmtId="1" fontId="0" fillId="0" borderId="0" xfId="0" applyNumberFormat="1"/>
    <xf numFmtId="4" fontId="0" fillId="0" borderId="0" xfId="0" applyNumberFormat="1"/>
    <xf numFmtId="164" fontId="0" fillId="0" borderId="0" xfId="0" applyNumberFormat="1" applyAlignment="1">
      <alignment horizontal="center"/>
    </xf>
    <xf numFmtId="0" fontId="0" fillId="6" borderId="0" xfId="0" applyFill="1"/>
    <xf numFmtId="164" fontId="0" fillId="0" borderId="0" xfId="0" applyNumberFormat="1" applyAlignment="1">
      <alignment horizontal="right"/>
    </xf>
    <xf numFmtId="3" fontId="0" fillId="6" borderId="0" xfId="0" applyNumberFormat="1" applyFill="1"/>
    <xf numFmtId="9" fontId="0" fillId="6" borderId="0" xfId="1" applyFont="1" applyFill="1"/>
    <xf numFmtId="3" fontId="0" fillId="0" borderId="0" xfId="0" applyNumberFormat="1" applyFill="1"/>
    <xf numFmtId="9" fontId="0" fillId="0" borderId="0" xfId="1" applyFont="1"/>
    <xf numFmtId="2" fontId="0" fillId="0" borderId="0" xfId="0" applyNumberFormat="1" applyAlignment="1">
      <alignment horizontal="right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1" fontId="0" fillId="2" borderId="0" xfId="0" applyNumberFormat="1" applyFill="1"/>
    <xf numFmtId="4" fontId="0" fillId="0" borderId="0" xfId="0" applyNumberFormat="1" applyFill="1"/>
    <xf numFmtId="0" fontId="0" fillId="0" borderId="0" xfId="0" applyAlignment="1">
      <alignment horizontal="left"/>
    </xf>
    <xf numFmtId="4" fontId="0" fillId="2" borderId="0" xfId="0" applyNumberFormat="1" applyFill="1"/>
    <xf numFmtId="3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left"/>
    </xf>
    <xf numFmtId="0" fontId="0" fillId="6" borderId="1" xfId="0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7" borderId="0" xfId="0" applyFill="1" applyBorder="1"/>
    <xf numFmtId="0" fontId="0" fillId="7" borderId="0" xfId="0" applyFill="1" applyAlignment="1">
      <alignment horizontal="center"/>
    </xf>
    <xf numFmtId="0" fontId="0" fillId="7" borderId="0" xfId="0" applyFill="1"/>
    <xf numFmtId="0" fontId="2" fillId="8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2" fillId="8" borderId="0" xfId="0" applyFont="1" applyFill="1"/>
    <xf numFmtId="3" fontId="0" fillId="5" borderId="1" xfId="0" applyNumberFormat="1" applyFill="1" applyBorder="1" applyAlignment="1">
      <alignment horizontal="center"/>
    </xf>
    <xf numFmtId="3" fontId="0" fillId="5" borderId="1" xfId="0" applyNumberFormat="1" applyFill="1" applyBorder="1"/>
    <xf numFmtId="0" fontId="0" fillId="5" borderId="1" xfId="0" applyFill="1" applyBorder="1"/>
    <xf numFmtId="4" fontId="2" fillId="10" borderId="0" xfId="0" applyNumberFormat="1" applyFont="1" applyFill="1"/>
    <xf numFmtId="0" fontId="5" fillId="0" borderId="1" xfId="0" applyFont="1" applyBorder="1"/>
    <xf numFmtId="10" fontId="0" fillId="0" borderId="0" xfId="0" applyNumberFormat="1"/>
    <xf numFmtId="10" fontId="0" fillId="0" borderId="0" xfId="1" applyNumberFormat="1" applyFont="1"/>
    <xf numFmtId="0" fontId="7" fillId="0" borderId="0" xfId="0" applyFont="1"/>
    <xf numFmtId="1" fontId="7" fillId="0" borderId="0" xfId="0" applyNumberFormat="1" applyFont="1"/>
    <xf numFmtId="0" fontId="2" fillId="11" borderId="0" xfId="0" applyFont="1" applyFill="1"/>
    <xf numFmtId="0" fontId="2" fillId="11" borderId="0" xfId="0" applyFont="1" applyFill="1" applyAlignment="1">
      <alignment horizontal="center"/>
    </xf>
    <xf numFmtId="3" fontId="8" fillId="11" borderId="0" xfId="0" applyNumberFormat="1" applyFont="1" applyFill="1"/>
    <xf numFmtId="3" fontId="0" fillId="12" borderId="0" xfId="0" applyNumberFormat="1" applyFill="1"/>
    <xf numFmtId="1" fontId="0" fillId="12" borderId="0" xfId="0" applyNumberFormat="1" applyFill="1"/>
    <xf numFmtId="0" fontId="0" fillId="12" borderId="0" xfId="0" applyFill="1"/>
    <xf numFmtId="0" fontId="10" fillId="11" borderId="0" xfId="0" applyFont="1" applyFill="1" applyAlignment="1"/>
    <xf numFmtId="165" fontId="11" fillId="12" borderId="0" xfId="0" applyNumberFormat="1" applyFont="1" applyFill="1"/>
    <xf numFmtId="1" fontId="11" fillId="0" borderId="0" xfId="0" applyNumberFormat="1" applyFont="1" applyBorder="1"/>
    <xf numFmtId="0" fontId="2" fillId="0" borderId="0" xfId="0" applyFont="1" applyFill="1" applyAlignment="1">
      <alignment horizontal="center"/>
    </xf>
    <xf numFmtId="10" fontId="0" fillId="0" borderId="0" xfId="1" applyNumberFormat="1" applyFont="1" applyFill="1"/>
    <xf numFmtId="1" fontId="0" fillId="0" borderId="0" xfId="0" applyNumberFormat="1" applyFill="1"/>
    <xf numFmtId="1" fontId="7" fillId="0" borderId="0" xfId="0" applyNumberFormat="1" applyFont="1" applyFill="1" applyBorder="1"/>
    <xf numFmtId="1" fontId="11" fillId="0" borderId="0" xfId="0" applyNumberFormat="1" applyFont="1" applyFill="1" applyBorder="1"/>
    <xf numFmtId="0" fontId="0" fillId="0" borderId="5" xfId="0" applyFill="1" applyBorder="1"/>
    <xf numFmtId="1" fontId="7" fillId="0" borderId="0" xfId="0" applyNumberFormat="1" applyFont="1" applyFill="1"/>
    <xf numFmtId="1" fontId="0" fillId="0" borderId="0" xfId="0" applyNumberFormat="1" applyFill="1" applyBorder="1"/>
    <xf numFmtId="0" fontId="0" fillId="0" borderId="0" xfId="0" applyFill="1" applyBorder="1"/>
    <xf numFmtId="0" fontId="0" fillId="14" borderId="9" xfId="0" applyFill="1" applyBorder="1"/>
    <xf numFmtId="0" fontId="2" fillId="11" borderId="0" xfId="0" applyFont="1" applyFill="1" applyAlignment="1">
      <alignment vertical="top"/>
    </xf>
    <xf numFmtId="3" fontId="0" fillId="12" borderId="0" xfId="0" applyNumberFormat="1" applyFill="1" applyAlignment="1">
      <alignment vertical="top"/>
    </xf>
    <xf numFmtId="1" fontId="0" fillId="0" borderId="0" xfId="0" applyNumberFormat="1" applyAlignment="1">
      <alignment vertical="top"/>
    </xf>
    <xf numFmtId="1" fontId="0" fillId="0" borderId="0" xfId="0" applyNumberFormat="1" applyFill="1" applyAlignment="1">
      <alignment vertical="top"/>
    </xf>
    <xf numFmtId="0" fontId="0" fillId="0" borderId="0" xfId="0" applyAlignment="1">
      <alignment vertical="top"/>
    </xf>
    <xf numFmtId="166" fontId="0" fillId="14" borderId="9" xfId="1" applyNumberFormat="1" applyFont="1" applyFill="1" applyBorder="1"/>
    <xf numFmtId="0" fontId="0" fillId="11" borderId="0" xfId="0" applyFill="1"/>
    <xf numFmtId="0" fontId="5" fillId="11" borderId="0" xfId="0" applyFont="1" applyFill="1" applyAlignment="1"/>
    <xf numFmtId="0" fontId="0" fillId="14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0" fillId="10" borderId="13" xfId="0" applyNumberFormat="1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9" fillId="10" borderId="15" xfId="0" applyFont="1" applyFill="1" applyBorder="1" applyAlignment="1">
      <alignment horizontal="center"/>
    </xf>
    <xf numFmtId="3" fontId="11" fillId="18" borderId="18" xfId="0" applyNumberFormat="1" applyFont="1" applyFill="1" applyBorder="1" applyAlignment="1">
      <alignment horizontal="center"/>
    </xf>
    <xf numFmtId="3" fontId="11" fillId="18" borderId="19" xfId="0" applyNumberFormat="1" applyFont="1" applyFill="1" applyBorder="1" applyAlignment="1">
      <alignment horizontal="center"/>
    </xf>
    <xf numFmtId="3" fontId="11" fillId="18" borderId="20" xfId="0" applyNumberFormat="1" applyFont="1" applyFill="1" applyBorder="1"/>
    <xf numFmtId="0" fontId="5" fillId="17" borderId="1" xfId="0" applyFont="1" applyFill="1" applyBorder="1" applyProtection="1">
      <protection locked="0"/>
    </xf>
    <xf numFmtId="3" fontId="0" fillId="14" borderId="1" xfId="0" applyNumberFormat="1" applyFill="1" applyBorder="1" applyAlignment="1" applyProtection="1">
      <alignment horizontal="center"/>
      <protection locked="0"/>
    </xf>
    <xf numFmtId="3" fontId="0" fillId="14" borderId="1" xfId="0" applyNumberFormat="1" applyFill="1" applyBorder="1" applyProtection="1">
      <protection locked="0"/>
    </xf>
    <xf numFmtId="0" fontId="0" fillId="14" borderId="1" xfId="0" applyFill="1" applyBorder="1" applyProtection="1"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13" borderId="1" xfId="0" applyFill="1" applyBorder="1" applyAlignment="1" applyProtection="1">
      <alignment horizontal="center"/>
      <protection locked="0"/>
    </xf>
    <xf numFmtId="0" fontId="0" fillId="9" borderId="6" xfId="0" applyFill="1" applyBorder="1" applyAlignment="1" applyProtection="1">
      <alignment horizontal="center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0" fillId="7" borderId="0" xfId="0" applyFill="1" applyProtection="1"/>
    <xf numFmtId="0" fontId="5" fillId="7" borderId="0" xfId="0" applyFont="1" applyFill="1" applyAlignment="1" applyProtection="1"/>
    <xf numFmtId="4" fontId="0" fillId="7" borderId="0" xfId="0" applyNumberFormat="1" applyFill="1" applyProtection="1"/>
    <xf numFmtId="0" fontId="0" fillId="7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4" fontId="0" fillId="0" borderId="0" xfId="0" applyNumberFormat="1" applyProtection="1"/>
    <xf numFmtId="0" fontId="0" fillId="7" borderId="0" xfId="0" applyFill="1" applyAlignment="1" applyProtection="1"/>
    <xf numFmtId="3" fontId="0" fillId="14" borderId="0" xfId="0" applyNumberFormat="1" applyFill="1" applyProtection="1"/>
    <xf numFmtId="0" fontId="0" fillId="0" borderId="0" xfId="0" applyAlignment="1" applyProtection="1">
      <alignment horizontal="left"/>
    </xf>
    <xf numFmtId="3" fontId="0" fillId="0" borderId="0" xfId="0" applyNumberFormat="1" applyAlignment="1" applyProtection="1">
      <alignment horizontal="center"/>
    </xf>
    <xf numFmtId="3" fontId="0" fillId="15" borderId="0" xfId="0" applyNumberFormat="1" applyFill="1" applyProtection="1"/>
    <xf numFmtId="1" fontId="0" fillId="14" borderId="0" xfId="0" applyNumberFormat="1" applyFill="1" applyProtection="1"/>
    <xf numFmtId="0" fontId="2" fillId="8" borderId="0" xfId="0" applyFont="1" applyFill="1" applyAlignment="1" applyProtection="1">
      <alignment horizontal="center"/>
    </xf>
    <xf numFmtId="3" fontId="0" fillId="0" borderId="0" xfId="0" applyNumberFormat="1" applyProtection="1"/>
    <xf numFmtId="9" fontId="0" fillId="0" borderId="0" xfId="1" applyFont="1" applyProtection="1"/>
    <xf numFmtId="1" fontId="0" fillId="2" borderId="0" xfId="0" applyNumberFormat="1" applyFill="1" applyProtection="1"/>
    <xf numFmtId="3" fontId="0" fillId="2" borderId="0" xfId="0" applyNumberFormat="1" applyFill="1" applyProtection="1"/>
    <xf numFmtId="0" fontId="0" fillId="4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164" fontId="0" fillId="4" borderId="0" xfId="0" applyNumberFormat="1" applyFill="1" applyAlignment="1" applyProtection="1">
      <alignment horizontal="right"/>
    </xf>
    <xf numFmtId="0" fontId="0" fillId="2" borderId="0" xfId="0" applyFill="1" applyProtection="1"/>
    <xf numFmtId="0" fontId="2" fillId="8" borderId="0" xfId="0" applyFont="1" applyFill="1" applyAlignment="1" applyProtection="1"/>
    <xf numFmtId="0" fontId="0" fillId="9" borderId="0" xfId="0" applyFill="1" applyProtection="1"/>
    <xf numFmtId="0" fontId="0" fillId="9" borderId="0" xfId="0" applyFill="1" applyBorder="1" applyAlignment="1" applyProtection="1">
      <alignment horizontal="center"/>
    </xf>
    <xf numFmtId="0" fontId="2" fillId="8" borderId="0" xfId="0" applyFont="1" applyFill="1" applyAlignment="1" applyProtection="1">
      <alignment horizontal="left"/>
    </xf>
    <xf numFmtId="0" fontId="2" fillId="8" borderId="0" xfId="0" applyFont="1" applyFill="1" applyBorder="1" applyAlignment="1" applyProtection="1">
      <alignment horizontal="left"/>
    </xf>
    <xf numFmtId="0" fontId="0" fillId="8" borderId="0" xfId="0" applyFill="1" applyBorder="1" applyAlignment="1" applyProtection="1">
      <alignment horizontal="center"/>
    </xf>
    <xf numFmtId="0" fontId="0" fillId="13" borderId="0" xfId="0" applyFill="1" applyProtection="1"/>
    <xf numFmtId="0" fontId="2" fillId="8" borderId="0" xfId="0" applyFont="1" applyFill="1" applyProtection="1"/>
    <xf numFmtId="0" fontId="6" fillId="13" borderId="0" xfId="0" applyFont="1" applyFill="1" applyBorder="1" applyAlignment="1" applyProtection="1">
      <alignment horizontal="center"/>
    </xf>
    <xf numFmtId="0" fontId="2" fillId="8" borderId="0" xfId="0" applyFont="1" applyFill="1" applyBorder="1" applyAlignment="1" applyProtection="1"/>
    <xf numFmtId="4" fontId="2" fillId="10" borderId="0" xfId="0" applyNumberFormat="1" applyFont="1" applyFill="1" applyProtection="1"/>
    <xf numFmtId="0" fontId="2" fillId="3" borderId="0" xfId="0" applyFont="1" applyFill="1" applyAlignment="1" applyProtection="1">
      <alignment horizontal="center"/>
    </xf>
    <xf numFmtId="3" fontId="0" fillId="6" borderId="0" xfId="0" applyNumberFormat="1" applyFill="1" applyProtection="1"/>
    <xf numFmtId="0" fontId="0" fillId="6" borderId="0" xfId="0" applyFill="1" applyProtection="1"/>
    <xf numFmtId="4" fontId="0" fillId="2" borderId="0" xfId="0" applyNumberFormat="1" applyFill="1" applyProtection="1"/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9" fontId="0" fillId="6" borderId="0" xfId="1" applyFont="1" applyFill="1" applyProtection="1"/>
    <xf numFmtId="0" fontId="0" fillId="0" borderId="0" xfId="0" applyAlignment="1" applyProtection="1">
      <alignment horizontal="right"/>
    </xf>
    <xf numFmtId="2" fontId="0" fillId="4" borderId="0" xfId="0" applyNumberFormat="1" applyFill="1" applyAlignment="1" applyProtection="1">
      <alignment horizontal="right"/>
    </xf>
    <xf numFmtId="2" fontId="0" fillId="4" borderId="0" xfId="0" applyNumberFormat="1" applyFill="1" applyProtection="1"/>
    <xf numFmtId="0" fontId="2" fillId="0" borderId="0" xfId="0" applyFont="1" applyFill="1" applyProtection="1"/>
    <xf numFmtId="0" fontId="0" fillId="0" borderId="0" xfId="0" applyFill="1" applyProtection="1"/>
    <xf numFmtId="1" fontId="7" fillId="18" borderId="1" xfId="0" applyNumberFormat="1" applyFont="1" applyFill="1" applyBorder="1" applyProtection="1">
      <protection locked="0"/>
    </xf>
    <xf numFmtId="0" fontId="5" fillId="12" borderId="1" xfId="0" applyFont="1" applyFill="1" applyBorder="1" applyProtection="1"/>
    <xf numFmtId="0" fontId="2" fillId="8" borderId="0" xfId="0" applyFont="1" applyFill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8" borderId="0" xfId="0" applyFont="1" applyFill="1" applyAlignment="1">
      <alignment horizontal="right"/>
    </xf>
    <xf numFmtId="0" fontId="2" fillId="8" borderId="4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8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8" borderId="0" xfId="0" applyFont="1" applyFill="1" applyAlignment="1" applyProtection="1">
      <alignment horizontal="right"/>
    </xf>
    <xf numFmtId="0" fontId="0" fillId="7" borderId="0" xfId="0" applyFill="1" applyAlignment="1" applyProtection="1">
      <alignment horizontal="left"/>
    </xf>
    <xf numFmtId="0" fontId="0" fillId="14" borderId="2" xfId="0" applyFill="1" applyBorder="1" applyAlignment="1" applyProtection="1">
      <alignment horizontal="center"/>
      <protection locked="0"/>
    </xf>
    <xf numFmtId="0" fontId="0" fillId="14" borderId="3" xfId="0" applyFill="1" applyBorder="1" applyAlignment="1" applyProtection="1">
      <alignment horizontal="center"/>
      <protection locked="0"/>
    </xf>
    <xf numFmtId="0" fontId="0" fillId="12" borderId="0" xfId="0" applyFill="1" applyAlignment="1" applyProtection="1">
      <alignment horizontal="left" vertical="top" wrapText="1"/>
    </xf>
    <xf numFmtId="0" fontId="0" fillId="14" borderId="0" xfId="0" applyFill="1" applyAlignment="1" applyProtection="1">
      <alignment horizontal="left" vertical="top"/>
    </xf>
    <xf numFmtId="0" fontId="2" fillId="8" borderId="0" xfId="0" applyFont="1" applyFill="1" applyAlignment="1" applyProtection="1">
      <alignment horizontal="center"/>
    </xf>
    <xf numFmtId="0" fontId="0" fillId="13" borderId="2" xfId="0" applyFill="1" applyBorder="1" applyAlignment="1" applyProtection="1">
      <alignment horizontal="center"/>
      <protection locked="0"/>
    </xf>
    <xf numFmtId="0" fontId="0" fillId="13" borderId="3" xfId="0" applyFill="1" applyBorder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left"/>
    </xf>
    <xf numFmtId="0" fontId="2" fillId="8" borderId="7" xfId="0" applyFont="1" applyFill="1" applyBorder="1" applyAlignment="1" applyProtection="1">
      <alignment horizontal="left"/>
    </xf>
    <xf numFmtId="0" fontId="2" fillId="3" borderId="0" xfId="0" applyFont="1" applyFill="1" applyAlignment="1" applyProtection="1">
      <alignment horizontal="center"/>
    </xf>
    <xf numFmtId="0" fontId="2" fillId="10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5" fillId="7" borderId="0" xfId="0" applyFont="1" applyFill="1" applyAlignment="1" applyProtection="1">
      <alignment horizontal="left"/>
    </xf>
    <xf numFmtId="0" fontId="12" fillId="16" borderId="8" xfId="0" applyFont="1" applyFill="1" applyBorder="1" applyAlignment="1">
      <alignment horizontal="left" vertical="top" wrapText="1"/>
    </xf>
    <xf numFmtId="0" fontId="12" fillId="16" borderId="0" xfId="0" applyFont="1" applyFill="1" applyBorder="1" applyAlignment="1">
      <alignment horizontal="left" vertical="top" wrapText="1"/>
    </xf>
    <xf numFmtId="0" fontId="12" fillId="16" borderId="9" xfId="0" applyFont="1" applyFill="1" applyBorder="1" applyAlignment="1">
      <alignment horizontal="left" vertical="top" wrapText="1"/>
    </xf>
    <xf numFmtId="0" fontId="12" fillId="16" borderId="10" xfId="0" applyFont="1" applyFill="1" applyBorder="1" applyAlignment="1">
      <alignment horizontal="left" vertical="top" wrapText="1"/>
    </xf>
    <xf numFmtId="0" fontId="12" fillId="16" borderId="11" xfId="0" applyFont="1" applyFill="1" applyBorder="1" applyAlignment="1">
      <alignment horizontal="left" vertical="top" wrapText="1"/>
    </xf>
    <xf numFmtId="0" fontId="12" fillId="16" borderId="12" xfId="0" applyFont="1" applyFill="1" applyBorder="1" applyAlignment="1">
      <alignment horizontal="left" vertical="top" wrapText="1"/>
    </xf>
    <xf numFmtId="0" fontId="12" fillId="14" borderId="0" xfId="0" applyFont="1" applyFill="1" applyAlignment="1">
      <alignment horizontal="left" vertical="top" wrapText="1"/>
    </xf>
    <xf numFmtId="3" fontId="0" fillId="14" borderId="8" xfId="0" applyNumberFormat="1" applyFill="1" applyBorder="1" applyAlignment="1">
      <alignment horizontal="center"/>
    </xf>
    <xf numFmtId="3" fontId="0" fillId="14" borderId="0" xfId="0" applyNumberFormat="1" applyFill="1" applyBorder="1" applyAlignment="1">
      <alignment horizontal="center"/>
    </xf>
    <xf numFmtId="0" fontId="0" fillId="16" borderId="8" xfId="0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10" fontId="12" fillId="10" borderId="16" xfId="0" applyNumberFormat="1" applyFont="1" applyFill="1" applyBorder="1" applyAlignment="1">
      <alignment horizontal="left" vertical="top" wrapText="1"/>
    </xf>
    <xf numFmtId="10" fontId="12" fillId="10" borderId="0" xfId="0" applyNumberFormat="1" applyFont="1" applyFill="1" applyBorder="1" applyAlignment="1">
      <alignment horizontal="left" vertical="top" wrapText="1"/>
    </xf>
    <xf numFmtId="10" fontId="12" fillId="10" borderId="17" xfId="0" applyNumberFormat="1" applyFont="1" applyFill="1" applyBorder="1" applyAlignment="1">
      <alignment horizontal="left" vertical="top" wrapText="1"/>
    </xf>
    <xf numFmtId="10" fontId="12" fillId="10" borderId="18" xfId="0" applyNumberFormat="1" applyFont="1" applyFill="1" applyBorder="1" applyAlignment="1">
      <alignment horizontal="left" vertical="top" wrapText="1"/>
    </xf>
    <xf numFmtId="10" fontId="12" fillId="10" borderId="19" xfId="0" applyNumberFormat="1" applyFont="1" applyFill="1" applyBorder="1" applyAlignment="1">
      <alignment horizontal="left" vertical="top" wrapText="1"/>
    </xf>
    <xf numFmtId="10" fontId="12" fillId="10" borderId="20" xfId="0" applyNumberFormat="1" applyFont="1" applyFill="1" applyBorder="1" applyAlignment="1">
      <alignment horizontal="left" vertical="top" wrapText="1"/>
    </xf>
    <xf numFmtId="10" fontId="12" fillId="10" borderId="13" xfId="0" applyNumberFormat="1" applyFont="1" applyFill="1" applyBorder="1" applyAlignment="1">
      <alignment horizontal="left" vertical="top" wrapText="1"/>
    </xf>
    <xf numFmtId="10" fontId="12" fillId="10" borderId="14" xfId="0" applyNumberFormat="1" applyFont="1" applyFill="1" applyBorder="1" applyAlignment="1">
      <alignment horizontal="left" vertical="top" wrapText="1"/>
    </xf>
    <xf numFmtId="10" fontId="12" fillId="10" borderId="15" xfId="0" applyNumberFormat="1" applyFont="1" applyFill="1" applyBorder="1" applyAlignment="1">
      <alignment horizontal="left" vertical="top" wrapText="1"/>
    </xf>
  </cellXfs>
  <cellStyles count="28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Normal" xfId="0" builtinId="0"/>
    <cellStyle name="Pourcentage" xfId="1" builtinId="5"/>
  </cellStyles>
  <dxfs count="0"/>
  <tableStyles count="0" defaultTableStyle="TableStyleMedium9" defaultPivotStyle="PivotStyleMedium4"/>
  <colors>
    <mruColors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 sz="1800" b="1" i="0" baseline="0">
                <a:effectLst/>
              </a:rPr>
              <a:t>Productions et consommations mensuelles (en MW.h)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'Mensuel '!$A$5</c:f>
              <c:strCache>
                <c:ptCount val="1"/>
                <c:pt idx="0">
                  <c:v>Eolien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'!$C$5:$N$5</c:f>
              <c:numCache>
                <c:formatCode>0</c:formatCode>
                <c:ptCount val="12"/>
                <c:pt idx="0">
                  <c:v>2008.5708991531922</c:v>
                </c:pt>
                <c:pt idx="1">
                  <c:v>1431.6144637632465</c:v>
                </c:pt>
                <c:pt idx="2">
                  <c:v>1699.1514091008135</c:v>
                </c:pt>
                <c:pt idx="3">
                  <c:v>1063.6044837067261</c:v>
                </c:pt>
                <c:pt idx="4">
                  <c:v>788.98803224888934</c:v>
                </c:pt>
                <c:pt idx="5">
                  <c:v>639.95704583673626</c:v>
                </c:pt>
                <c:pt idx="6">
                  <c:v>625.67369539869492</c:v>
                </c:pt>
                <c:pt idx="7">
                  <c:v>491.22524821232241</c:v>
                </c:pt>
                <c:pt idx="8">
                  <c:v>908.17008012322037</c:v>
                </c:pt>
                <c:pt idx="9">
                  <c:v>1166.1252131157903</c:v>
                </c:pt>
                <c:pt idx="10">
                  <c:v>1492.3109319875782</c:v>
                </c:pt>
                <c:pt idx="11">
                  <c:v>1700.60849735279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3-B641-A784-83EE9DF398B5}"/>
            </c:ext>
          </c:extLst>
        </c:ser>
        <c:ser>
          <c:idx val="1"/>
          <c:order val="1"/>
          <c:tx>
            <c:strRef>
              <c:f>'Mensuel '!$A$7</c:f>
              <c:strCache>
                <c:ptCount val="1"/>
                <c:pt idx="0">
                  <c:v>Hydrolien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'!$C$7:$N$7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3-B641-A784-83EE9DF398B5}"/>
            </c:ext>
          </c:extLst>
        </c:ser>
        <c:ser>
          <c:idx val="5"/>
          <c:order val="2"/>
          <c:tx>
            <c:strRef>
              <c:f>'Mensuel '!$A$9</c:f>
              <c:strCache>
                <c:ptCount val="1"/>
                <c:pt idx="0">
                  <c:v>Houlomoteur</c:v>
                </c:pt>
              </c:strCache>
            </c:strRef>
          </c:tx>
          <c:spPr>
            <a:solidFill>
              <a:srgbClr val="D883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'!$C$9:$N$9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A6-CB46-BDDA-9CCF1B316B26}"/>
            </c:ext>
          </c:extLst>
        </c:ser>
        <c:ser>
          <c:idx val="2"/>
          <c:order val="3"/>
          <c:tx>
            <c:strRef>
              <c:f>'Mensuel '!$A$10</c:f>
              <c:strCache>
                <c:ptCount val="1"/>
                <c:pt idx="0">
                  <c:v>Photovoltaïque toit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'!$C$10:$N$10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13-B641-A784-83EE9DF398B5}"/>
            </c:ext>
          </c:extLst>
        </c:ser>
        <c:ser>
          <c:idx val="3"/>
          <c:order val="4"/>
          <c:tx>
            <c:strRef>
              <c:f>'Mensuel '!$A$11</c:f>
              <c:strCache>
                <c:ptCount val="1"/>
                <c:pt idx="0">
                  <c:v>Photovoltaïque sol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'!$C$11:$N$11</c:f>
              <c:numCache>
                <c:formatCode>0</c:formatCode>
                <c:ptCount val="12"/>
                <c:pt idx="0">
                  <c:v>466.82679237835907</c:v>
                </c:pt>
                <c:pt idx="1">
                  <c:v>1529.96347945248</c:v>
                </c:pt>
                <c:pt idx="2">
                  <c:v>1745.5161326802356</c:v>
                </c:pt>
                <c:pt idx="3">
                  <c:v>2604.7548111996343</c:v>
                </c:pt>
                <c:pt idx="4">
                  <c:v>3612.8815754170373</c:v>
                </c:pt>
                <c:pt idx="5">
                  <c:v>3133.3512203450714</c:v>
                </c:pt>
                <c:pt idx="6">
                  <c:v>3622.61320371902</c:v>
                </c:pt>
                <c:pt idx="7">
                  <c:v>2957.2495393355348</c:v>
                </c:pt>
                <c:pt idx="8">
                  <c:v>2773.1061535016042</c:v>
                </c:pt>
                <c:pt idx="9">
                  <c:v>2153.6035159065054</c:v>
                </c:pt>
                <c:pt idx="10">
                  <c:v>1340.1675909521286</c:v>
                </c:pt>
                <c:pt idx="11">
                  <c:v>339.96598511238881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13-B641-A784-83EE9DF398B5}"/>
            </c:ext>
          </c:extLst>
        </c:ser>
        <c:ser>
          <c:idx val="6"/>
          <c:order val="5"/>
          <c:tx>
            <c:strRef>
              <c:f>'Mensuel '!$A$14</c:f>
              <c:strCache>
                <c:ptCount val="1"/>
                <c:pt idx="0">
                  <c:v>Hydroélectrique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'!$C$14:$N$14</c:f>
              <c:numCache>
                <c:formatCode>0</c:formatCode>
                <c:ptCount val="12"/>
                <c:pt idx="0">
                  <c:v>2340.4842784427656</c:v>
                </c:pt>
                <c:pt idx="1">
                  <c:v>2151.7355463102845</c:v>
                </c:pt>
                <c:pt idx="2">
                  <c:v>1629.9801224869263</c:v>
                </c:pt>
                <c:pt idx="3">
                  <c:v>1092.0462359093551</c:v>
                </c:pt>
                <c:pt idx="4">
                  <c:v>794.09288018593838</c:v>
                </c:pt>
                <c:pt idx="5">
                  <c:v>364.01541196978496</c:v>
                </c:pt>
                <c:pt idx="6">
                  <c:v>208.97181057524693</c:v>
                </c:pt>
                <c:pt idx="7">
                  <c:v>125.38308634514817</c:v>
                </c:pt>
                <c:pt idx="8">
                  <c:v>161.78462754212666</c:v>
                </c:pt>
                <c:pt idx="9">
                  <c:v>376.14925903544452</c:v>
                </c:pt>
                <c:pt idx="10">
                  <c:v>768.47698082510169</c:v>
                </c:pt>
                <c:pt idx="11">
                  <c:v>1588.1857603718768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13-B641-A784-83EE9DF398B5}"/>
            </c:ext>
          </c:extLst>
        </c:ser>
        <c:ser>
          <c:idx val="7"/>
          <c:order val="6"/>
          <c:tx>
            <c:strRef>
              <c:f>'Mensuel '!$A$17</c:f>
              <c:strCache>
                <c:ptCount val="1"/>
                <c:pt idx="0">
                  <c:v>Usine marémotrice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'!$C$17:$N$17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13-B641-A784-83EE9DF398B5}"/>
            </c:ext>
          </c:extLst>
        </c:ser>
        <c:ser>
          <c:idx val="8"/>
          <c:order val="7"/>
          <c:tx>
            <c:strRef>
              <c:f>'Mensuel '!$A$12</c:f>
              <c:strCache>
                <c:ptCount val="1"/>
                <c:pt idx="0">
                  <c:v>Géothermie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'!$C$12:$N$12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13-B641-A784-83EE9DF398B5}"/>
            </c:ext>
          </c:extLst>
        </c:ser>
        <c:ser>
          <c:idx val="9"/>
          <c:order val="8"/>
          <c:tx>
            <c:strRef>
              <c:f>'Mensuel '!$A$18</c:f>
              <c:strCache>
                <c:ptCount val="1"/>
                <c:pt idx="0">
                  <c:v>Biomasse combution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'!$C$18:$N$18</c:f>
              <c:numCache>
                <c:formatCode>General</c:formatCode>
                <c:ptCount val="12"/>
                <c:pt idx="0">
                  <c:v>243</c:v>
                </c:pt>
                <c:pt idx="1">
                  <c:v>155</c:v>
                </c:pt>
                <c:pt idx="2">
                  <c:v>328</c:v>
                </c:pt>
                <c:pt idx="11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13-B641-A784-83EE9DF398B5}"/>
            </c:ext>
          </c:extLst>
        </c:ser>
        <c:ser>
          <c:idx val="10"/>
          <c:order val="9"/>
          <c:tx>
            <c:strRef>
              <c:f>'Mensuel '!$A$19</c:f>
              <c:strCache>
                <c:ptCount val="1"/>
                <c:pt idx="0">
                  <c:v>Biomasse méthanisation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'!$C$19:$N$19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A-4413-B641-A784-83EE9DF398B5}"/>
            </c:ext>
          </c:extLst>
        </c:ser>
        <c:ser>
          <c:idx val="11"/>
          <c:order val="11"/>
          <c:tx>
            <c:strRef>
              <c:f>'Mensuel '!$A$15</c:f>
              <c:strCache>
                <c:ptCount val="1"/>
                <c:pt idx="0">
                  <c:v>Stockage hydroélectrique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'!$C$15:$N$15</c:f>
              <c:numCache>
                <c:formatCode>0</c:formatCode>
                <c:ptCount val="12"/>
                <c:pt idx="3">
                  <c:v>-858</c:v>
                </c:pt>
                <c:pt idx="4">
                  <c:v>-794</c:v>
                </c:pt>
                <c:pt idx="5">
                  <c:v>-364</c:v>
                </c:pt>
                <c:pt idx="6">
                  <c:v>-209</c:v>
                </c:pt>
                <c:pt idx="7">
                  <c:v>-105</c:v>
                </c:pt>
                <c:pt idx="9">
                  <c:v>80</c:v>
                </c:pt>
                <c:pt idx="10">
                  <c:v>1115</c:v>
                </c:pt>
                <c:pt idx="11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7-AF41-8A8A-5C9FFE97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3686160"/>
        <c:axId val="1030487472"/>
      </c:barChart>
      <c:lineChart>
        <c:grouping val="standard"/>
        <c:varyColors val="0"/>
        <c:ser>
          <c:idx val="4"/>
          <c:order val="10"/>
          <c:tx>
            <c:strRef>
              <c:f>'Mensuel '!$A$24</c:f>
              <c:strCache>
                <c:ptCount val="1"/>
                <c:pt idx="0">
                  <c:v>Consommation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FF0000"/>
              </a:solidFill>
              <a:ln w="15875">
                <a:solidFill>
                  <a:srgbClr val="FF000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182880" tIns="0" rIns="0" bIns="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'Mensuel '!$C$3:$N$3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 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'Mensuel '!$C$24:$N$24</c:f>
              <c:numCache>
                <c:formatCode>0</c:formatCode>
                <c:ptCount val="12"/>
                <c:pt idx="0">
                  <c:v>5058.4888396735196</c:v>
                </c:pt>
                <c:pt idx="1">
                  <c:v>5268.2495139080511</c:v>
                </c:pt>
                <c:pt idx="2">
                  <c:v>5402.2659108821072</c:v>
                </c:pt>
                <c:pt idx="3">
                  <c:v>3902.6537624608964</c:v>
                </c:pt>
                <c:pt idx="4">
                  <c:v>3395.088302111832</c:v>
                </c:pt>
                <c:pt idx="5">
                  <c:v>3205.1297003333057</c:v>
                </c:pt>
                <c:pt idx="6">
                  <c:v>3270.1997931591836</c:v>
                </c:pt>
                <c:pt idx="7">
                  <c:v>3229.4196694354318</c:v>
                </c:pt>
                <c:pt idx="8">
                  <c:v>3237.7727560466669</c:v>
                </c:pt>
                <c:pt idx="9">
                  <c:v>3775.5191009137507</c:v>
                </c:pt>
                <c:pt idx="10">
                  <c:v>4715.9759181341606</c:v>
                </c:pt>
                <c:pt idx="11">
                  <c:v>5039.2367329410936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413-B641-A784-83EE9DF39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686160"/>
        <c:axId val="1030487472"/>
      </c:lineChart>
      <c:catAx>
        <c:axId val="100368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0487472"/>
        <c:crosses val="autoZero"/>
        <c:auto val="1"/>
        <c:lblAlgn val="ctr"/>
        <c:lblOffset val="100"/>
        <c:noMultiLvlLbl val="0"/>
      </c:catAx>
      <c:valAx>
        <c:axId val="10304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36861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177800</xdr:rowOff>
    </xdr:from>
    <xdr:to>
      <xdr:col>17</xdr:col>
      <xdr:colOff>495300</xdr:colOff>
      <xdr:row>43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4AFB028-CF28-4645-BCB2-FCED8F00C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Rouge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BB08-9011-EB4E-BD46-657836D309D0}">
  <dimension ref="A1:O38"/>
  <sheetViews>
    <sheetView workbookViewId="0">
      <selection sqref="A1:XFD1048576"/>
    </sheetView>
  </sheetViews>
  <sheetFormatPr baseColWidth="10" defaultRowHeight="16" x14ac:dyDescent="0.2"/>
  <cols>
    <col min="1" max="1" width="16.83203125" customWidth="1"/>
    <col min="2" max="2" width="7.83203125" customWidth="1"/>
    <col min="3" max="3" width="13.83203125" customWidth="1"/>
    <col min="4" max="4" width="10.83203125" customWidth="1"/>
    <col min="5" max="5" width="11.83203125" customWidth="1"/>
    <col min="6" max="6" width="9.33203125" customWidth="1"/>
    <col min="7" max="7" width="10.83203125" style="9" customWidth="1"/>
    <col min="8" max="8" width="8.6640625" style="9" customWidth="1"/>
    <col min="9" max="9" width="11" customWidth="1"/>
    <col min="10" max="10" width="9.1640625" customWidth="1"/>
    <col min="11" max="11" width="6.5" customWidth="1"/>
    <col min="12" max="12" width="14" customWidth="1"/>
    <col min="13" max="13" width="8.5" customWidth="1"/>
    <col min="14" max="14" width="12.83203125" style="7" customWidth="1"/>
    <col min="15" max="15" width="13.83203125" style="7" customWidth="1"/>
  </cols>
  <sheetData>
    <row r="1" spans="1:15" ht="22" thickBot="1" x14ac:dyDescent="0.3">
      <c r="A1" s="155" t="s">
        <v>0</v>
      </c>
      <c r="B1" s="155"/>
      <c r="C1" s="42" t="s">
        <v>24</v>
      </c>
    </row>
    <row r="3" spans="1:15" ht="17" thickBot="1" x14ac:dyDescent="0.25">
      <c r="A3" s="32" t="s">
        <v>43</v>
      </c>
      <c r="B3" s="152" t="s">
        <v>1</v>
      </c>
      <c r="C3" s="152"/>
      <c r="D3" s="152" t="s">
        <v>2</v>
      </c>
      <c r="E3" s="152"/>
      <c r="F3" s="152" t="s">
        <v>4</v>
      </c>
      <c r="G3" s="152"/>
      <c r="H3" s="33"/>
      <c r="I3" s="152" t="s">
        <v>14</v>
      </c>
      <c r="J3" s="152"/>
      <c r="K3" s="34"/>
      <c r="L3" s="34"/>
      <c r="M3" s="33"/>
      <c r="N3" s="33"/>
      <c r="O3"/>
    </row>
    <row r="4" spans="1:15" ht="17" thickBot="1" x14ac:dyDescent="0.25">
      <c r="A4" s="38">
        <v>8000</v>
      </c>
      <c r="B4" s="147">
        <v>2500</v>
      </c>
      <c r="C4" s="148"/>
      <c r="D4" s="39">
        <v>4500</v>
      </c>
      <c r="E4" s="5" t="s">
        <v>3</v>
      </c>
      <c r="F4" s="15">
        <f>B4*D4/1000</f>
        <v>11250</v>
      </c>
      <c r="G4" s="5" t="s">
        <v>5</v>
      </c>
      <c r="H4" s="5"/>
      <c r="I4" s="40">
        <v>60</v>
      </c>
      <c r="J4" t="s">
        <v>38</v>
      </c>
      <c r="K4">
        <f>I4*100</f>
        <v>6000</v>
      </c>
      <c r="L4" s="23" t="s">
        <v>25</v>
      </c>
      <c r="O4"/>
    </row>
    <row r="5" spans="1:15" x14ac:dyDescent="0.2">
      <c r="A5" s="25">
        <f>A4/5</f>
        <v>1600</v>
      </c>
      <c r="B5" t="s">
        <v>39</v>
      </c>
      <c r="M5" s="7"/>
      <c r="O5"/>
    </row>
    <row r="6" spans="1:15" ht="17" thickBot="1" x14ac:dyDescent="0.25">
      <c r="B6" s="151"/>
      <c r="C6" s="151"/>
      <c r="D6" s="152" t="s">
        <v>35</v>
      </c>
      <c r="E6" s="152"/>
      <c r="F6" s="5"/>
      <c r="G6" s="22"/>
      <c r="I6" s="152" t="s">
        <v>14</v>
      </c>
      <c r="J6" s="152"/>
      <c r="K6" s="34"/>
      <c r="L6" s="34"/>
      <c r="M6" s="33"/>
      <c r="N6" s="33"/>
      <c r="O6"/>
    </row>
    <row r="7" spans="1:15" ht="17" thickBot="1" x14ac:dyDescent="0.25">
      <c r="D7" s="153" t="s">
        <v>36</v>
      </c>
      <c r="E7" s="154"/>
      <c r="F7" s="39">
        <v>9000</v>
      </c>
      <c r="G7" s="5" t="s">
        <v>5</v>
      </c>
      <c r="H7" s="5"/>
      <c r="I7" s="8">
        <f>A4/I4</f>
        <v>133.33333333333334</v>
      </c>
      <c r="J7" t="s">
        <v>23</v>
      </c>
      <c r="M7" s="7"/>
      <c r="O7"/>
    </row>
    <row r="8" spans="1:15" x14ac:dyDescent="0.2">
      <c r="B8" s="20"/>
      <c r="C8" s="20"/>
      <c r="F8" s="152" t="s">
        <v>4</v>
      </c>
      <c r="G8" s="152"/>
      <c r="H8" s="33"/>
      <c r="M8" s="7"/>
      <c r="O8"/>
    </row>
    <row r="9" spans="1:15" x14ac:dyDescent="0.2">
      <c r="B9" s="20"/>
      <c r="C9" s="20"/>
      <c r="F9" s="3">
        <f>F4+F7</f>
        <v>20250</v>
      </c>
      <c r="G9" s="5" t="s">
        <v>5</v>
      </c>
      <c r="H9" s="5"/>
    </row>
    <row r="11" spans="1:15" ht="17" thickBot="1" x14ac:dyDescent="0.25">
      <c r="C11" s="35" t="s">
        <v>7</v>
      </c>
      <c r="D11" s="137" t="s">
        <v>6</v>
      </c>
      <c r="E11" s="137"/>
      <c r="F11" s="35" t="s">
        <v>49</v>
      </c>
      <c r="G11" s="140" t="s">
        <v>41</v>
      </c>
      <c r="H11" s="140"/>
      <c r="I11" s="140" t="s">
        <v>44</v>
      </c>
      <c r="J11" s="140"/>
      <c r="K11" s="149" t="s">
        <v>46</v>
      </c>
      <c r="L11" s="149"/>
      <c r="M11" s="149" t="s">
        <v>45</v>
      </c>
      <c r="N11" s="149"/>
      <c r="O11"/>
    </row>
    <row r="12" spans="1:15" ht="17" thickBot="1" x14ac:dyDescent="0.25">
      <c r="A12" s="150" t="s">
        <v>20</v>
      </c>
      <c r="B12" s="150"/>
      <c r="C12" s="36">
        <v>2</v>
      </c>
      <c r="D12" s="3">
        <f>C12*2*8760*0.2</f>
        <v>7008</v>
      </c>
      <c r="E12" t="s">
        <v>5</v>
      </c>
      <c r="F12" s="16">
        <f>D12/D$35</f>
        <v>0.13963486232684011</v>
      </c>
      <c r="G12" s="21">
        <v>80</v>
      </c>
      <c r="H12" t="s">
        <v>12</v>
      </c>
      <c r="I12" s="3">
        <f>D12*G12</f>
        <v>560640</v>
      </c>
      <c r="J12" t="s">
        <v>8</v>
      </c>
      <c r="K12" s="28">
        <v>10</v>
      </c>
      <c r="L12" s="29" t="s">
        <v>30</v>
      </c>
      <c r="M12" s="12">
        <f>K12*D12/1000</f>
        <v>70.08</v>
      </c>
      <c r="N12" t="s">
        <v>18</v>
      </c>
      <c r="O12"/>
    </row>
    <row r="13" spans="1:15" ht="17" thickBot="1" x14ac:dyDescent="0.25">
      <c r="A13" s="150" t="s">
        <v>29</v>
      </c>
      <c r="B13" s="150"/>
      <c r="C13" s="36">
        <v>1</v>
      </c>
      <c r="D13" s="3">
        <f>C13*2500</f>
        <v>2500</v>
      </c>
      <c r="E13" t="s">
        <v>5</v>
      </c>
      <c r="F13" s="16">
        <f>D13/D$35</f>
        <v>4.9812664928239193E-2</v>
      </c>
      <c r="G13" s="21">
        <v>200</v>
      </c>
      <c r="H13" t="s">
        <v>12</v>
      </c>
      <c r="I13" s="3">
        <f>D13*G13</f>
        <v>500000</v>
      </c>
      <c r="J13" t="s">
        <v>8</v>
      </c>
      <c r="K13" s="28">
        <v>20</v>
      </c>
      <c r="L13" s="29" t="s">
        <v>30</v>
      </c>
      <c r="M13" s="12">
        <f>K13*D13/1000</f>
        <v>50</v>
      </c>
      <c r="N13" t="s">
        <v>18</v>
      </c>
      <c r="O13"/>
    </row>
    <row r="14" spans="1:15" ht="17" thickBot="1" x14ac:dyDescent="0.25">
      <c r="A14" s="150" t="s">
        <v>32</v>
      </c>
      <c r="B14" s="150"/>
      <c r="C14" s="36">
        <v>100</v>
      </c>
      <c r="D14" s="3">
        <f>C14*3/1000*8760*0.12</f>
        <v>315.36</v>
      </c>
      <c r="E14" t="s">
        <v>5</v>
      </c>
      <c r="F14" s="16">
        <f>D14/D$35</f>
        <v>6.2835688047078054E-3</v>
      </c>
      <c r="G14" s="21">
        <v>190</v>
      </c>
      <c r="H14" t="s">
        <v>12</v>
      </c>
      <c r="I14" s="3">
        <f>D14*G14</f>
        <v>59918.400000000001</v>
      </c>
      <c r="J14" t="s">
        <v>8</v>
      </c>
      <c r="K14" s="28">
        <v>32</v>
      </c>
      <c r="L14" s="29" t="s">
        <v>30</v>
      </c>
      <c r="M14" s="12">
        <f>K14*D14/1000</f>
        <v>10.091520000000001</v>
      </c>
      <c r="N14" t="s">
        <v>18</v>
      </c>
      <c r="O14"/>
    </row>
    <row r="15" spans="1:15" ht="17" thickBot="1" x14ac:dyDescent="0.25">
      <c r="A15" s="150" t="s">
        <v>33</v>
      </c>
      <c r="B15" s="150"/>
      <c r="C15" s="36">
        <v>1</v>
      </c>
      <c r="D15" s="3">
        <f>C15*8760*0.12</f>
        <v>1051.2</v>
      </c>
      <c r="E15" t="s">
        <v>5</v>
      </c>
      <c r="F15" s="16">
        <f>D15/D$35</f>
        <v>2.0945229349026016E-2</v>
      </c>
      <c r="G15" s="21">
        <v>65</v>
      </c>
      <c r="H15" t="s">
        <v>12</v>
      </c>
      <c r="I15" s="3">
        <f>D15*G15</f>
        <v>68328</v>
      </c>
      <c r="J15" t="s">
        <v>8</v>
      </c>
      <c r="K15" s="28">
        <v>32</v>
      </c>
      <c r="L15" s="29" t="s">
        <v>30</v>
      </c>
      <c r="M15" s="12">
        <f>K15*D15/1000</f>
        <v>33.638400000000004</v>
      </c>
      <c r="N15" t="s">
        <v>18</v>
      </c>
      <c r="O15"/>
    </row>
    <row r="16" spans="1:15" x14ac:dyDescent="0.2">
      <c r="D16" s="3"/>
      <c r="G16" s="1"/>
      <c r="H16"/>
      <c r="I16" s="3"/>
      <c r="K16" s="28"/>
      <c r="L16" s="29"/>
      <c r="M16" s="12"/>
      <c r="N16"/>
      <c r="O16"/>
    </row>
    <row r="17" spans="1:15" x14ac:dyDescent="0.2">
      <c r="A17" s="137" t="s">
        <v>9</v>
      </c>
      <c r="B17" s="137"/>
      <c r="C17" s="37"/>
      <c r="D17" s="3"/>
      <c r="G17" s="1"/>
      <c r="H17"/>
      <c r="I17" s="3"/>
      <c r="K17" s="28"/>
      <c r="L17" s="29"/>
      <c r="M17" s="12"/>
      <c r="N17"/>
      <c r="O17"/>
    </row>
    <row r="18" spans="1:15" ht="17" thickBot="1" x14ac:dyDescent="0.25">
      <c r="A18" s="137" t="s">
        <v>10</v>
      </c>
      <c r="B18" s="137"/>
      <c r="C18" s="35" t="s">
        <v>11</v>
      </c>
      <c r="D18" s="3"/>
      <c r="G18" s="1"/>
      <c r="H18"/>
      <c r="I18" s="3"/>
      <c r="K18" s="28"/>
      <c r="L18" s="29"/>
      <c r="M18" s="12"/>
      <c r="N18"/>
      <c r="O18"/>
    </row>
    <row r="19" spans="1:15" ht="17" thickBot="1" x14ac:dyDescent="0.25">
      <c r="A19" s="143">
        <v>3</v>
      </c>
      <c r="B19" s="144"/>
      <c r="C19" s="36">
        <v>30</v>
      </c>
      <c r="D19" s="3">
        <f>A19*C19*1000*9.91*0.9/1000000*8760</f>
        <v>7031.7395999999999</v>
      </c>
      <c r="E19" t="s">
        <v>5</v>
      </c>
      <c r="F19" s="16">
        <f>D19/D$35</f>
        <v>0.14010787542297229</v>
      </c>
      <c r="G19" s="1">
        <v>20</v>
      </c>
      <c r="H19" t="s">
        <v>12</v>
      </c>
      <c r="I19" s="3">
        <f>D19*G19</f>
        <v>140634.79199999999</v>
      </c>
      <c r="J19" t="s">
        <v>8</v>
      </c>
      <c r="K19" s="28">
        <v>10</v>
      </c>
      <c r="L19" s="29" t="s">
        <v>30</v>
      </c>
      <c r="M19" s="12">
        <f>K19*D19/1000</f>
        <v>70.317395999999988</v>
      </c>
      <c r="N19" t="s">
        <v>18</v>
      </c>
      <c r="O19"/>
    </row>
    <row r="20" spans="1:15" ht="17" thickBot="1" x14ac:dyDescent="0.25">
      <c r="A20" s="143"/>
      <c r="B20" s="144"/>
      <c r="C20" s="36"/>
      <c r="D20" s="3">
        <f>B20*C20*1000*9.91*0.9/1000000*8760</f>
        <v>0</v>
      </c>
      <c r="E20" t="s">
        <v>5</v>
      </c>
      <c r="F20" s="16">
        <f>D20/D$35</f>
        <v>0</v>
      </c>
      <c r="G20" s="1">
        <v>20</v>
      </c>
      <c r="H20" t="s">
        <v>12</v>
      </c>
      <c r="I20" s="3">
        <f>D20*G20</f>
        <v>0</v>
      </c>
      <c r="J20" t="s">
        <v>8</v>
      </c>
      <c r="K20" s="28">
        <v>10</v>
      </c>
      <c r="L20" s="29" t="s">
        <v>30</v>
      </c>
      <c r="M20" s="12">
        <f>K20*D20/1000</f>
        <v>0</v>
      </c>
      <c r="N20" t="s">
        <v>18</v>
      </c>
      <c r="O20"/>
    </row>
    <row r="21" spans="1:15" x14ac:dyDescent="0.2">
      <c r="A21" s="137" t="s">
        <v>13</v>
      </c>
      <c r="B21" s="137"/>
      <c r="C21" s="35"/>
      <c r="D21" s="3"/>
      <c r="G21" s="1"/>
      <c r="H21"/>
      <c r="I21" s="3"/>
      <c r="K21" s="28"/>
      <c r="L21" s="29"/>
      <c r="M21" s="12"/>
      <c r="N21"/>
      <c r="O21"/>
    </row>
    <row r="22" spans="1:15" ht="17" thickBot="1" x14ac:dyDescent="0.25">
      <c r="A22" s="137" t="s">
        <v>48</v>
      </c>
      <c r="B22" s="137"/>
      <c r="C22" s="35" t="s">
        <v>15</v>
      </c>
      <c r="D22" s="3"/>
      <c r="G22" s="1"/>
      <c r="H22"/>
      <c r="I22" s="3"/>
      <c r="K22" s="28"/>
      <c r="L22" s="29"/>
      <c r="M22" s="12"/>
      <c r="N22"/>
      <c r="O22"/>
    </row>
    <row r="23" spans="1:15" ht="17" thickBot="1" x14ac:dyDescent="0.25">
      <c r="A23" s="145">
        <v>5</v>
      </c>
      <c r="B23" s="146"/>
      <c r="C23" s="30">
        <v>6</v>
      </c>
      <c r="D23" s="3">
        <f>(A23*10000*C23*1000)*C23*9.91*0.9/1000000/(3*3600)*8760</f>
        <v>13021.740000000002</v>
      </c>
      <c r="E23" t="s">
        <v>5</v>
      </c>
      <c r="F23" s="16">
        <f>D23/D$35</f>
        <v>0.25945902856105979</v>
      </c>
      <c r="G23" s="1">
        <v>30</v>
      </c>
      <c r="H23" t="s">
        <v>12</v>
      </c>
      <c r="I23" s="3">
        <f>D23*G23</f>
        <v>390652.20000000007</v>
      </c>
      <c r="J23" t="s">
        <v>8</v>
      </c>
      <c r="K23" s="28">
        <v>10</v>
      </c>
      <c r="L23" s="29" t="s">
        <v>30</v>
      </c>
      <c r="M23" s="12">
        <f>K23*D23/1000</f>
        <v>130.21740000000003</v>
      </c>
      <c r="N23" t="s">
        <v>18</v>
      </c>
      <c r="O23"/>
    </row>
    <row r="24" spans="1:15" ht="17" thickBot="1" x14ac:dyDescent="0.25">
      <c r="D24" s="3"/>
      <c r="E24" s="9"/>
      <c r="F24" s="9"/>
      <c r="G24" s="1"/>
      <c r="H24"/>
      <c r="I24" s="3"/>
      <c r="K24" s="28"/>
      <c r="L24" s="29"/>
      <c r="M24" s="12"/>
      <c r="N24"/>
      <c r="O24"/>
    </row>
    <row r="25" spans="1:15" ht="17" thickBot="1" x14ac:dyDescent="0.25">
      <c r="A25" s="137" t="s">
        <v>34</v>
      </c>
      <c r="B25" s="137"/>
      <c r="C25" s="30">
        <v>1</v>
      </c>
      <c r="D25" s="3">
        <f>C25*8760</f>
        <v>8760</v>
      </c>
      <c r="E25" t="s">
        <v>5</v>
      </c>
      <c r="F25" s="16">
        <f>D25/D$35</f>
        <v>0.17454357790855013</v>
      </c>
      <c r="G25" s="1">
        <v>200</v>
      </c>
      <c r="H25" t="s">
        <v>12</v>
      </c>
      <c r="I25" s="3">
        <f>D25*G25</f>
        <v>1752000</v>
      </c>
      <c r="J25" t="s">
        <v>8</v>
      </c>
      <c r="K25" s="28">
        <v>38</v>
      </c>
      <c r="L25" s="29" t="s">
        <v>30</v>
      </c>
      <c r="M25" s="12">
        <f>K25*D25/1000</f>
        <v>332.88</v>
      </c>
      <c r="N25" t="s">
        <v>18</v>
      </c>
      <c r="O25"/>
    </row>
    <row r="26" spans="1:15" x14ac:dyDescent="0.2">
      <c r="D26" s="3"/>
      <c r="E26" s="9"/>
      <c r="F26" s="9"/>
      <c r="G26" s="1"/>
      <c r="H26"/>
      <c r="I26" s="3"/>
      <c r="K26" s="28"/>
      <c r="L26" s="29"/>
      <c r="M26" s="12"/>
      <c r="N26"/>
      <c r="O26"/>
    </row>
    <row r="27" spans="1:15" x14ac:dyDescent="0.2">
      <c r="A27" s="137" t="s">
        <v>26</v>
      </c>
      <c r="B27" s="137"/>
      <c r="C27" s="137"/>
      <c r="D27" s="3"/>
      <c r="E27" s="9"/>
      <c r="F27" s="9"/>
      <c r="G27" s="1"/>
      <c r="H27"/>
      <c r="I27" s="3"/>
      <c r="K27" s="28"/>
      <c r="L27" s="29"/>
      <c r="M27" s="12"/>
      <c r="N27"/>
      <c r="O27"/>
    </row>
    <row r="28" spans="1:15" ht="17" thickBot="1" x14ac:dyDescent="0.25">
      <c r="A28" s="137" t="s">
        <v>17</v>
      </c>
      <c r="B28" s="137"/>
      <c r="C28" s="37" t="s">
        <v>31</v>
      </c>
      <c r="D28" s="3"/>
      <c r="E28" s="9"/>
      <c r="F28" s="9"/>
      <c r="G28" s="1"/>
      <c r="H28"/>
      <c r="I28" s="3"/>
      <c r="K28" s="28"/>
      <c r="L28" s="29"/>
      <c r="M28" s="12"/>
      <c r="N28"/>
      <c r="O28"/>
    </row>
    <row r="29" spans="1:15" ht="17" thickBot="1" x14ac:dyDescent="0.25">
      <c r="A29" s="138">
        <v>2000</v>
      </c>
      <c r="B29" s="139"/>
      <c r="C29" s="31">
        <v>3</v>
      </c>
      <c r="D29" s="3">
        <f>A29*C29</f>
        <v>6000</v>
      </c>
      <c r="E29" t="s">
        <v>5</v>
      </c>
      <c r="F29" s="16">
        <f>D29/D$35</f>
        <v>0.11955039582777406</v>
      </c>
      <c r="G29" s="1">
        <v>120</v>
      </c>
      <c r="H29" t="s">
        <v>12</v>
      </c>
      <c r="I29" s="3">
        <f>D29*G29</f>
        <v>720000</v>
      </c>
      <c r="J29" t="s">
        <v>8</v>
      </c>
      <c r="K29" s="28">
        <v>30</v>
      </c>
      <c r="L29" s="29" t="s">
        <v>30</v>
      </c>
      <c r="M29" s="12">
        <f>K29*D29/1000</f>
        <v>180</v>
      </c>
      <c r="N29" t="s">
        <v>18</v>
      </c>
      <c r="O29"/>
    </row>
    <row r="30" spans="1:15" x14ac:dyDescent="0.2">
      <c r="A30" s="142" t="s">
        <v>27</v>
      </c>
      <c r="B30" s="142"/>
      <c r="C30" s="142"/>
      <c r="D30" s="3"/>
      <c r="G30" s="1"/>
      <c r="H30"/>
      <c r="I30" s="3"/>
      <c r="K30" s="28"/>
      <c r="L30" s="29"/>
      <c r="M30" s="12"/>
      <c r="N30"/>
      <c r="O30"/>
    </row>
    <row r="31" spans="1:15" ht="17" thickBot="1" x14ac:dyDescent="0.25">
      <c r="A31" s="137" t="s">
        <v>28</v>
      </c>
      <c r="B31" s="137"/>
      <c r="C31" s="35" t="s">
        <v>5</v>
      </c>
      <c r="D31" s="3"/>
      <c r="E31" s="9"/>
      <c r="F31" s="9"/>
      <c r="G31" s="1"/>
      <c r="H31"/>
      <c r="I31" s="3"/>
      <c r="K31" s="28"/>
      <c r="L31" s="29"/>
      <c r="M31" s="12"/>
      <c r="N31"/>
      <c r="O31"/>
    </row>
    <row r="32" spans="1:15" ht="17" thickBot="1" x14ac:dyDescent="0.25">
      <c r="A32" s="138">
        <v>50</v>
      </c>
      <c r="B32" s="139"/>
      <c r="C32" s="31">
        <v>90</v>
      </c>
      <c r="D32" s="3">
        <f>A32*C32</f>
        <v>4500</v>
      </c>
      <c r="E32" t="s">
        <v>5</v>
      </c>
      <c r="F32" s="16">
        <f>D32/D$35</f>
        <v>8.966279687083055E-2</v>
      </c>
      <c r="G32" s="1">
        <v>120</v>
      </c>
      <c r="H32" t="s">
        <v>12</v>
      </c>
      <c r="I32" s="3">
        <f>D32*G32</f>
        <v>540000</v>
      </c>
      <c r="J32" t="s">
        <v>8</v>
      </c>
      <c r="K32" s="28">
        <v>30</v>
      </c>
      <c r="L32" s="29" t="s">
        <v>30</v>
      </c>
      <c r="M32" s="12">
        <f>K32*D32/1000</f>
        <v>135</v>
      </c>
      <c r="N32" t="s">
        <v>18</v>
      </c>
      <c r="O32"/>
    </row>
    <row r="33" spans="2:15" x14ac:dyDescent="0.2">
      <c r="E33" s="9"/>
      <c r="F33" s="9"/>
      <c r="G33" s="1"/>
      <c r="H33"/>
      <c r="K33" s="26"/>
      <c r="L33" s="26"/>
      <c r="M33" s="10"/>
      <c r="N33"/>
      <c r="O33"/>
    </row>
    <row r="34" spans="2:15" x14ac:dyDescent="0.2">
      <c r="D34" s="137" t="s">
        <v>6</v>
      </c>
      <c r="E34" s="137"/>
      <c r="F34" s="35"/>
      <c r="G34" s="41"/>
      <c r="H34" s="41"/>
      <c r="I34" s="140" t="s">
        <v>37</v>
      </c>
      <c r="J34" s="140"/>
      <c r="K34" s="18"/>
      <c r="L34" s="18"/>
      <c r="M34" s="18" t="s">
        <v>47</v>
      </c>
      <c r="N34" s="18"/>
      <c r="O34"/>
    </row>
    <row r="35" spans="2:15" x14ac:dyDescent="0.2">
      <c r="D35" s="13">
        <f>SUM(D12:D32)</f>
        <v>50188.039600000004</v>
      </c>
      <c r="E35" s="11" t="s">
        <v>5</v>
      </c>
      <c r="F35" s="11"/>
      <c r="G35" s="24"/>
      <c r="H35" s="24"/>
      <c r="I35" s="4">
        <f>SUM(I12:I32)</f>
        <v>4732173.392</v>
      </c>
      <c r="J35" s="1" t="s">
        <v>8</v>
      </c>
      <c r="K35" s="26"/>
      <c r="L35" s="26"/>
      <c r="M35" s="27">
        <f>SUM(M12:M15)</f>
        <v>163.80991999999998</v>
      </c>
      <c r="N35" s="6" t="s">
        <v>18</v>
      </c>
      <c r="O35"/>
    </row>
    <row r="37" spans="2:15" x14ac:dyDescent="0.2">
      <c r="B37" s="141" t="s">
        <v>19</v>
      </c>
      <c r="C37" s="141"/>
      <c r="D37" s="14">
        <f>D35/F4</f>
        <v>4.4611590755555559</v>
      </c>
      <c r="E37" s="9"/>
      <c r="F37" s="9"/>
      <c r="G37"/>
      <c r="H37" s="19" t="s">
        <v>41</v>
      </c>
      <c r="I37" s="3">
        <f>I35/D35</f>
        <v>94.288867023210045</v>
      </c>
      <c r="J37" t="s">
        <v>22</v>
      </c>
      <c r="K37" s="7"/>
      <c r="L37" s="7"/>
      <c r="M37" s="17">
        <f>M35/D35*100</f>
        <v>0.32639234627526664</v>
      </c>
      <c r="N37" t="s">
        <v>30</v>
      </c>
      <c r="O37"/>
    </row>
    <row r="38" spans="2:15" x14ac:dyDescent="0.2">
      <c r="H38" s="19" t="s">
        <v>42</v>
      </c>
      <c r="I38" s="8">
        <f>I35/B4</f>
        <v>1892.8693568000001</v>
      </c>
      <c r="J38" t="s">
        <v>21</v>
      </c>
      <c r="M38" s="2">
        <f>M35/A4*1000</f>
        <v>20.476239999999997</v>
      </c>
      <c r="N38" s="23" t="s">
        <v>40</v>
      </c>
    </row>
  </sheetData>
  <mergeCells count="37">
    <mergeCell ref="A1:B1"/>
    <mergeCell ref="B3:C3"/>
    <mergeCell ref="D3:E3"/>
    <mergeCell ref="F3:G3"/>
    <mergeCell ref="I3:J3"/>
    <mergeCell ref="A15:B15"/>
    <mergeCell ref="B6:C6"/>
    <mergeCell ref="D6:E6"/>
    <mergeCell ref="I6:J6"/>
    <mergeCell ref="D7:E7"/>
    <mergeCell ref="F8:G8"/>
    <mergeCell ref="D11:E11"/>
    <mergeCell ref="G11:H11"/>
    <mergeCell ref="I11:J11"/>
    <mergeCell ref="A14:B14"/>
    <mergeCell ref="B4:C4"/>
    <mergeCell ref="K11:L11"/>
    <mergeCell ref="M11:N11"/>
    <mergeCell ref="A12:B12"/>
    <mergeCell ref="A13:B13"/>
    <mergeCell ref="A30:C30"/>
    <mergeCell ref="A17:B17"/>
    <mergeCell ref="A18:B18"/>
    <mergeCell ref="A19:B19"/>
    <mergeCell ref="A20:B20"/>
    <mergeCell ref="A21:B21"/>
    <mergeCell ref="A22:B22"/>
    <mergeCell ref="A23:B23"/>
    <mergeCell ref="A25:B25"/>
    <mergeCell ref="A27:C27"/>
    <mergeCell ref="A28:B28"/>
    <mergeCell ref="A29:B29"/>
    <mergeCell ref="A31:B31"/>
    <mergeCell ref="A32:B32"/>
    <mergeCell ref="D34:E34"/>
    <mergeCell ref="I34:J34"/>
    <mergeCell ref="B37:C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4279-0141-A146-8327-2F0D432CA45D}">
  <sheetPr>
    <pageSetUpPr fitToPage="1"/>
  </sheetPr>
  <dimension ref="A1:S31"/>
  <sheetViews>
    <sheetView tabSelected="1" workbookViewId="0">
      <selection activeCell="B25" sqref="B25:C25"/>
    </sheetView>
  </sheetViews>
  <sheetFormatPr baseColWidth="10" defaultRowHeight="16" x14ac:dyDescent="0.2"/>
  <cols>
    <col min="1" max="1" width="10.83203125" style="95"/>
    <col min="2" max="3" width="12.83203125" style="95" customWidth="1"/>
    <col min="4" max="4" width="13" style="95" customWidth="1"/>
    <col min="5" max="5" width="10.83203125" style="95" customWidth="1"/>
    <col min="6" max="6" width="10" style="95" customWidth="1"/>
    <col min="7" max="7" width="7.1640625" style="95" customWidth="1"/>
    <col min="8" max="8" width="7.33203125" style="96" customWidth="1"/>
    <col min="9" max="9" width="8.6640625" style="96" customWidth="1"/>
    <col min="10" max="10" width="11" style="95" customWidth="1"/>
    <col min="11" max="11" width="9.1640625" style="95" customWidth="1"/>
    <col min="12" max="12" width="6.33203125" style="95" customWidth="1"/>
    <col min="13" max="13" width="14" style="95" customWidth="1"/>
    <col min="14" max="14" width="8.5" style="95" customWidth="1"/>
    <col min="15" max="15" width="12.83203125" style="94" customWidth="1"/>
    <col min="16" max="16" width="4.5" style="94" customWidth="1"/>
    <col min="17" max="17" width="30.5" style="95" customWidth="1"/>
    <col min="18" max="18" width="8" style="95" customWidth="1"/>
    <col min="19" max="19" width="7.1640625" style="95" customWidth="1"/>
    <col min="20" max="16384" width="10.83203125" style="95"/>
  </cols>
  <sheetData>
    <row r="1" spans="1:19" ht="22" thickBot="1" x14ac:dyDescent="0.3">
      <c r="A1" s="170" t="s">
        <v>0</v>
      </c>
      <c r="B1" s="170"/>
      <c r="C1" s="82" t="s">
        <v>106</v>
      </c>
      <c r="D1" s="90"/>
      <c r="E1" s="91" t="s">
        <v>98</v>
      </c>
      <c r="F1" s="90"/>
      <c r="G1" s="90"/>
      <c r="H1" s="92"/>
      <c r="I1" s="92"/>
      <c r="J1" s="90"/>
      <c r="K1" s="90"/>
      <c r="L1" s="90"/>
      <c r="M1" s="90"/>
      <c r="N1" s="90"/>
      <c r="O1" s="93"/>
    </row>
    <row r="3" spans="1:19" ht="17" thickBot="1" x14ac:dyDescent="0.25">
      <c r="A3" s="93" t="s">
        <v>90</v>
      </c>
      <c r="B3" s="93" t="s">
        <v>88</v>
      </c>
      <c r="C3" s="169" t="s">
        <v>2</v>
      </c>
      <c r="D3" s="169"/>
      <c r="E3" s="97" t="s">
        <v>104</v>
      </c>
      <c r="F3" s="97"/>
      <c r="G3" s="93"/>
      <c r="H3" s="169" t="s">
        <v>14</v>
      </c>
      <c r="I3" s="169"/>
      <c r="J3" s="90"/>
      <c r="K3" s="90"/>
      <c r="L3" s="93"/>
      <c r="M3" s="93"/>
      <c r="N3" s="90"/>
      <c r="O3" s="90"/>
      <c r="P3" s="95"/>
      <c r="Q3" s="161" t="s">
        <v>92</v>
      </c>
      <c r="R3" s="161"/>
      <c r="S3" s="161"/>
    </row>
    <row r="4" spans="1:19" ht="17" thickBot="1" x14ac:dyDescent="0.25">
      <c r="A4" s="83">
        <v>28000</v>
      </c>
      <c r="B4" s="83">
        <v>9000</v>
      </c>
      <c r="C4" s="84">
        <v>4500</v>
      </c>
      <c r="D4" s="95" t="s">
        <v>3</v>
      </c>
      <c r="E4" s="98">
        <f>B4*C4/1000</f>
        <v>40500</v>
      </c>
      <c r="F4" s="95" t="s">
        <v>5</v>
      </c>
      <c r="H4" s="85">
        <v>300</v>
      </c>
      <c r="I4" s="95" t="s">
        <v>38</v>
      </c>
      <c r="J4" s="95">
        <f>H4*100</f>
        <v>30000</v>
      </c>
      <c r="K4" s="99" t="s">
        <v>25</v>
      </c>
      <c r="M4" s="94"/>
      <c r="O4" s="95"/>
      <c r="P4" s="95"/>
      <c r="Q4" s="161"/>
      <c r="R4" s="161"/>
      <c r="S4" s="161"/>
    </row>
    <row r="5" spans="1:19" ht="17" thickBot="1" x14ac:dyDescent="0.25">
      <c r="A5" s="100">
        <f>A4/5</f>
        <v>5600</v>
      </c>
      <c r="B5" s="95" t="s">
        <v>39</v>
      </c>
      <c r="F5" s="96"/>
      <c r="G5" s="96"/>
      <c r="H5" s="95"/>
      <c r="I5" s="95"/>
      <c r="L5" s="94"/>
      <c r="M5" s="94"/>
      <c r="O5" s="95"/>
      <c r="P5" s="95"/>
      <c r="Q5" s="161"/>
      <c r="R5" s="161"/>
      <c r="S5" s="161"/>
    </row>
    <row r="6" spans="1:19" ht="17" thickBot="1" x14ac:dyDescent="0.25">
      <c r="A6" s="157" t="s">
        <v>35</v>
      </c>
      <c r="B6" s="157"/>
      <c r="C6" s="158" t="s">
        <v>36</v>
      </c>
      <c r="D6" s="159"/>
      <c r="E6" s="84">
        <v>9000</v>
      </c>
      <c r="F6" s="95" t="s">
        <v>5</v>
      </c>
      <c r="H6" s="157" t="s">
        <v>91</v>
      </c>
      <c r="I6" s="157"/>
      <c r="J6" s="157"/>
      <c r="K6" s="90"/>
      <c r="L6" s="93"/>
      <c r="M6" s="93"/>
      <c r="N6" s="90"/>
      <c r="O6" s="90"/>
      <c r="P6" s="95"/>
      <c r="Q6" s="161"/>
      <c r="R6" s="161"/>
      <c r="S6" s="161"/>
    </row>
    <row r="7" spans="1:19" x14ac:dyDescent="0.2">
      <c r="A7" s="157" t="s">
        <v>4</v>
      </c>
      <c r="B7" s="157"/>
      <c r="C7" s="157"/>
      <c r="E7" s="101">
        <f>E4+E6</f>
        <v>49500</v>
      </c>
      <c r="F7" s="95" t="s">
        <v>5</v>
      </c>
      <c r="H7" s="102">
        <f>IF(H4=0,,A4/H4)</f>
        <v>93.333333333333329</v>
      </c>
      <c r="I7" s="95" t="s">
        <v>23</v>
      </c>
      <c r="L7" s="94"/>
      <c r="M7" s="94"/>
      <c r="O7" s="95"/>
      <c r="P7" s="95"/>
    </row>
    <row r="9" spans="1:19" ht="17" thickBot="1" x14ac:dyDescent="0.25">
      <c r="D9" s="103" t="s">
        <v>7</v>
      </c>
      <c r="E9" s="162" t="s">
        <v>6</v>
      </c>
      <c r="F9" s="162"/>
      <c r="G9" s="103" t="s">
        <v>49</v>
      </c>
      <c r="H9" s="168" t="s">
        <v>41</v>
      </c>
      <c r="I9" s="168"/>
      <c r="J9" s="168" t="s">
        <v>44</v>
      </c>
      <c r="K9" s="168"/>
      <c r="L9" s="167" t="s">
        <v>46</v>
      </c>
      <c r="M9" s="167"/>
      <c r="N9" s="167" t="s">
        <v>45</v>
      </c>
      <c r="O9" s="167"/>
      <c r="P9" s="95"/>
    </row>
    <row r="10" spans="1:19" ht="17" thickBot="1" x14ac:dyDescent="0.25">
      <c r="A10" s="165" t="s">
        <v>20</v>
      </c>
      <c r="B10" s="165"/>
      <c r="C10" s="166"/>
      <c r="D10" s="86">
        <v>4</v>
      </c>
      <c r="E10" s="104">
        <f>D10*2*8760*0.2</f>
        <v>14016</v>
      </c>
      <c r="F10" s="95" t="s">
        <v>5</v>
      </c>
      <c r="G10" s="105">
        <f>IF(E$28=0,,E10/E$28)</f>
        <v>0.26471601784612048</v>
      </c>
      <c r="H10" s="106">
        <v>80</v>
      </c>
      <c r="I10" s="95" t="s">
        <v>12</v>
      </c>
      <c r="J10" s="107">
        <f t="shared" ref="J10:J15" si="0">E10*H10</f>
        <v>1121280</v>
      </c>
      <c r="K10" s="95" t="s">
        <v>8</v>
      </c>
      <c r="L10" s="108">
        <v>10</v>
      </c>
      <c r="M10" s="109" t="s">
        <v>30</v>
      </c>
      <c r="N10" s="110">
        <f t="shared" ref="N10:N15" si="1">L10*E10/1000</f>
        <v>140.16</v>
      </c>
      <c r="O10" s="95" t="s">
        <v>18</v>
      </c>
      <c r="P10" s="95"/>
    </row>
    <row r="11" spans="1:19" ht="17" thickBot="1" x14ac:dyDescent="0.25">
      <c r="A11" s="165" t="s">
        <v>102</v>
      </c>
      <c r="B11" s="165"/>
      <c r="C11" s="166"/>
      <c r="D11" s="86"/>
      <c r="E11" s="104">
        <f>D11*0.5*2500</f>
        <v>0</v>
      </c>
      <c r="F11" s="95" t="s">
        <v>5</v>
      </c>
      <c r="G11" s="105">
        <f t="shared" ref="G11:G15" si="2">IF(E$28=0,,E11/E$28)</f>
        <v>0</v>
      </c>
      <c r="H11" s="106">
        <v>200</v>
      </c>
      <c r="I11" s="95" t="s">
        <v>12</v>
      </c>
      <c r="J11" s="107">
        <f t="shared" si="0"/>
        <v>0</v>
      </c>
      <c r="K11" s="95" t="s">
        <v>8</v>
      </c>
      <c r="L11" s="108">
        <v>20</v>
      </c>
      <c r="M11" s="109" t="s">
        <v>30</v>
      </c>
      <c r="N11" s="110">
        <f t="shared" si="1"/>
        <v>0</v>
      </c>
      <c r="O11" s="95" t="s">
        <v>18</v>
      </c>
      <c r="P11" s="95"/>
    </row>
    <row r="12" spans="1:19" ht="17" thickBot="1" x14ac:dyDescent="0.25">
      <c r="A12" s="165" t="s">
        <v>72</v>
      </c>
      <c r="B12" s="165"/>
      <c r="C12" s="166"/>
      <c r="D12" s="86"/>
      <c r="E12" s="104">
        <f>D12*0.75*8760*0.2</f>
        <v>0</v>
      </c>
      <c r="F12" s="95" t="s">
        <v>5</v>
      </c>
      <c r="G12" s="105">
        <f t="shared" si="2"/>
        <v>0</v>
      </c>
      <c r="H12" s="106">
        <v>200</v>
      </c>
      <c r="I12" s="95" t="s">
        <v>12</v>
      </c>
      <c r="J12" s="107">
        <f t="shared" si="0"/>
        <v>0</v>
      </c>
      <c r="K12" s="95" t="s">
        <v>8</v>
      </c>
      <c r="L12" s="108">
        <v>30</v>
      </c>
      <c r="M12" s="109" t="s">
        <v>30</v>
      </c>
      <c r="N12" s="110">
        <f t="shared" si="1"/>
        <v>0</v>
      </c>
      <c r="O12" s="95" t="s">
        <v>18</v>
      </c>
      <c r="P12" s="95"/>
    </row>
    <row r="13" spans="1:19" ht="17" thickBot="1" x14ac:dyDescent="0.25">
      <c r="A13" s="165" t="s">
        <v>32</v>
      </c>
      <c r="B13" s="165"/>
      <c r="C13" s="166"/>
      <c r="D13" s="86"/>
      <c r="E13" s="104">
        <f>D13*3/1000*8760*0.12</f>
        <v>0</v>
      </c>
      <c r="F13" s="95" t="s">
        <v>5</v>
      </c>
      <c r="G13" s="105">
        <f t="shared" si="2"/>
        <v>0</v>
      </c>
      <c r="H13" s="106">
        <v>190</v>
      </c>
      <c r="I13" s="95" t="s">
        <v>12</v>
      </c>
      <c r="J13" s="107">
        <f t="shared" si="0"/>
        <v>0</v>
      </c>
      <c r="K13" s="95" t="s">
        <v>8</v>
      </c>
      <c r="L13" s="108">
        <v>32</v>
      </c>
      <c r="M13" s="109" t="s">
        <v>30</v>
      </c>
      <c r="N13" s="110">
        <f t="shared" si="1"/>
        <v>0</v>
      </c>
      <c r="O13" s="95" t="s">
        <v>18</v>
      </c>
      <c r="P13" s="95"/>
    </row>
    <row r="14" spans="1:19" ht="17" thickBot="1" x14ac:dyDescent="0.25">
      <c r="A14" s="165" t="s">
        <v>33</v>
      </c>
      <c r="B14" s="165"/>
      <c r="C14" s="166"/>
      <c r="D14" s="86">
        <v>25</v>
      </c>
      <c r="E14" s="104">
        <f>D14*8760*0.12</f>
        <v>26280</v>
      </c>
      <c r="F14" s="95" t="s">
        <v>5</v>
      </c>
      <c r="G14" s="105">
        <f t="shared" si="2"/>
        <v>0.49634253346147583</v>
      </c>
      <c r="H14" s="106">
        <v>65</v>
      </c>
      <c r="I14" s="95" t="s">
        <v>12</v>
      </c>
      <c r="J14" s="107">
        <f t="shared" si="0"/>
        <v>1708200</v>
      </c>
      <c r="K14" s="95" t="s">
        <v>8</v>
      </c>
      <c r="L14" s="108">
        <v>32</v>
      </c>
      <c r="M14" s="109" t="s">
        <v>30</v>
      </c>
      <c r="N14" s="110">
        <f t="shared" si="1"/>
        <v>840.96</v>
      </c>
      <c r="O14" s="95" t="s">
        <v>18</v>
      </c>
      <c r="P14" s="95"/>
    </row>
    <row r="15" spans="1:19" ht="17" thickBot="1" x14ac:dyDescent="0.25">
      <c r="A15" s="165" t="s">
        <v>74</v>
      </c>
      <c r="B15" s="165"/>
      <c r="C15" s="166"/>
      <c r="D15" s="87"/>
      <c r="E15" s="104">
        <f>D15*8760</f>
        <v>0</v>
      </c>
      <c r="F15" s="95" t="s">
        <v>5</v>
      </c>
      <c r="G15" s="105">
        <f t="shared" si="2"/>
        <v>0</v>
      </c>
      <c r="H15" s="111">
        <v>200</v>
      </c>
      <c r="I15" s="95" t="s">
        <v>12</v>
      </c>
      <c r="J15" s="107">
        <f t="shared" si="0"/>
        <v>0</v>
      </c>
      <c r="K15" s="95" t="s">
        <v>8</v>
      </c>
      <c r="L15" s="108">
        <v>38</v>
      </c>
      <c r="M15" s="109" t="s">
        <v>30</v>
      </c>
      <c r="N15" s="110">
        <f t="shared" si="1"/>
        <v>0</v>
      </c>
      <c r="O15" s="95" t="s">
        <v>18</v>
      </c>
      <c r="P15" s="95"/>
    </row>
    <row r="16" spans="1:19" ht="16" customHeight="1" x14ac:dyDescent="0.2">
      <c r="A16" s="165" t="s">
        <v>93</v>
      </c>
      <c r="B16" s="165"/>
      <c r="C16" s="165"/>
      <c r="D16" s="165"/>
      <c r="E16" s="104"/>
      <c r="H16" s="111"/>
      <c r="I16" s="95"/>
      <c r="J16" s="107"/>
      <c r="L16" s="108"/>
      <c r="M16" s="109"/>
      <c r="N16" s="110"/>
      <c r="O16" s="95"/>
      <c r="P16" s="95"/>
      <c r="Q16" s="160" t="s">
        <v>85</v>
      </c>
      <c r="R16" s="160"/>
      <c r="S16" s="160"/>
    </row>
    <row r="17" spans="1:19" ht="17" thickBot="1" x14ac:dyDescent="0.25">
      <c r="A17" s="103" t="s">
        <v>78</v>
      </c>
      <c r="B17" s="103" t="s">
        <v>75</v>
      </c>
      <c r="C17" s="112" t="s">
        <v>10</v>
      </c>
      <c r="D17" s="103" t="s">
        <v>94</v>
      </c>
      <c r="E17" s="104"/>
      <c r="H17" s="111"/>
      <c r="I17" s="95"/>
      <c r="J17" s="107"/>
      <c r="L17" s="108"/>
      <c r="M17" s="109"/>
      <c r="N17" s="110"/>
      <c r="O17" s="95"/>
      <c r="P17" s="95"/>
      <c r="Q17" s="160"/>
      <c r="R17" s="160"/>
      <c r="S17" s="160"/>
    </row>
    <row r="18" spans="1:19" ht="17" customHeight="1" thickBot="1" x14ac:dyDescent="0.25">
      <c r="A18" s="113" t="s">
        <v>79</v>
      </c>
      <c r="B18" s="88">
        <v>1</v>
      </c>
      <c r="C18" s="86">
        <v>3</v>
      </c>
      <c r="D18" s="114">
        <v>50</v>
      </c>
      <c r="E18" s="104">
        <f>B18*C18*D18*1000*9.81*0.9/1000000*8760</f>
        <v>11601.305999999999</v>
      </c>
      <c r="F18" s="95" t="s">
        <v>5</v>
      </c>
      <c r="G18" s="105">
        <f t="shared" ref="G18:G20" si="3">IF(E$28=0,,E18/E$28)</f>
        <v>0.21911041139656851</v>
      </c>
      <c r="H18" s="111">
        <v>20</v>
      </c>
      <c r="I18" s="95" t="s">
        <v>12</v>
      </c>
      <c r="J18" s="107">
        <f>E18*H18</f>
        <v>232026.11999999997</v>
      </c>
      <c r="K18" s="95" t="s">
        <v>8</v>
      </c>
      <c r="L18" s="108">
        <v>10</v>
      </c>
      <c r="M18" s="109" t="s">
        <v>30</v>
      </c>
      <c r="N18" s="110">
        <f>L18*E18/1000</f>
        <v>116.01305999999998</v>
      </c>
      <c r="O18" s="95" t="s">
        <v>18</v>
      </c>
      <c r="P18" s="95"/>
      <c r="Q18" s="160"/>
      <c r="R18" s="160"/>
      <c r="S18" s="160"/>
    </row>
    <row r="19" spans="1:19" ht="17" thickBot="1" x14ac:dyDescent="0.25">
      <c r="A19" s="113" t="s">
        <v>80</v>
      </c>
      <c r="B19" s="86"/>
      <c r="C19" s="86"/>
      <c r="D19" s="114">
        <v>2</v>
      </c>
      <c r="E19" s="104">
        <f>B19*C19*D19*1000*9.81*0.9/1000000*8760</f>
        <v>0</v>
      </c>
      <c r="F19" s="95" t="s">
        <v>5</v>
      </c>
      <c r="G19" s="105">
        <f t="shared" si="3"/>
        <v>0</v>
      </c>
      <c r="H19" s="111">
        <v>20</v>
      </c>
      <c r="I19" s="95" t="s">
        <v>12</v>
      </c>
      <c r="J19" s="107">
        <f>E19*H19</f>
        <v>0</v>
      </c>
      <c r="K19" s="95" t="s">
        <v>8</v>
      </c>
      <c r="L19" s="108">
        <v>10</v>
      </c>
      <c r="M19" s="109" t="s">
        <v>30</v>
      </c>
      <c r="N19" s="110">
        <f>L19*E19/1000</f>
        <v>0</v>
      </c>
      <c r="O19" s="95" t="s">
        <v>18</v>
      </c>
      <c r="P19" s="95"/>
      <c r="Q19" s="160"/>
      <c r="R19" s="160"/>
      <c r="S19" s="160"/>
    </row>
    <row r="20" spans="1:19" ht="17" thickBot="1" x14ac:dyDescent="0.25">
      <c r="A20" s="165" t="s">
        <v>95</v>
      </c>
      <c r="B20" s="165"/>
      <c r="C20" s="166"/>
      <c r="D20" s="86"/>
      <c r="E20" s="104">
        <f>D20*0.1*8760*0.25</f>
        <v>0</v>
      </c>
      <c r="F20" s="95" t="s">
        <v>5</v>
      </c>
      <c r="G20" s="105">
        <f t="shared" si="3"/>
        <v>0</v>
      </c>
      <c r="H20" s="111">
        <v>30</v>
      </c>
      <c r="I20" s="95" t="s">
        <v>12</v>
      </c>
      <c r="J20" s="107">
        <f>E20*H20</f>
        <v>0</v>
      </c>
      <c r="K20" s="95" t="s">
        <v>8</v>
      </c>
      <c r="L20" s="108">
        <v>10</v>
      </c>
      <c r="M20" s="109" t="s">
        <v>30</v>
      </c>
      <c r="N20" s="110">
        <f>L20*E20/1000</f>
        <v>0</v>
      </c>
      <c r="O20" s="95" t="s">
        <v>18</v>
      </c>
      <c r="P20" s="95"/>
    </row>
    <row r="21" spans="1:19" x14ac:dyDescent="0.2">
      <c r="A21" s="115" t="s">
        <v>87</v>
      </c>
      <c r="B21" s="115"/>
      <c r="C21" s="116"/>
      <c r="D21" s="117"/>
      <c r="E21" s="104"/>
      <c r="G21" s="105"/>
      <c r="H21" s="111"/>
      <c r="I21" s="95"/>
      <c r="J21" s="107"/>
      <c r="L21" s="108"/>
      <c r="M21" s="109"/>
      <c r="N21" s="110"/>
      <c r="O21" s="95"/>
      <c r="P21" s="95"/>
      <c r="Q21" s="133"/>
      <c r="R21" s="133"/>
      <c r="S21" s="133"/>
    </row>
    <row r="22" spans="1:19" x14ac:dyDescent="0.2">
      <c r="A22" s="165" t="s">
        <v>86</v>
      </c>
      <c r="B22" s="165"/>
      <c r="C22" s="165"/>
      <c r="D22" s="165"/>
      <c r="E22" s="104"/>
      <c r="F22" s="96"/>
      <c r="G22" s="96"/>
      <c r="H22" s="111"/>
      <c r="I22" s="95"/>
      <c r="J22" s="107"/>
      <c r="L22" s="108"/>
      <c r="M22" s="109"/>
      <c r="N22" s="110"/>
      <c r="O22" s="95"/>
      <c r="P22" s="95"/>
      <c r="Q22" s="134"/>
      <c r="R22" s="134"/>
      <c r="S22" s="134"/>
    </row>
    <row r="23" spans="1:19" ht="17" thickBot="1" x14ac:dyDescent="0.25">
      <c r="A23" s="119" t="s">
        <v>78</v>
      </c>
      <c r="B23" s="162" t="s">
        <v>17</v>
      </c>
      <c r="C23" s="162"/>
      <c r="D23" s="119" t="s">
        <v>31</v>
      </c>
      <c r="E23" s="104"/>
      <c r="F23" s="96"/>
      <c r="G23" s="96"/>
      <c r="H23" s="111"/>
      <c r="I23" s="95"/>
      <c r="J23" s="107"/>
      <c r="L23" s="108"/>
      <c r="M23" s="109"/>
      <c r="N23" s="110"/>
      <c r="O23" s="95"/>
      <c r="P23" s="95"/>
      <c r="Q23" s="134"/>
      <c r="R23" s="134"/>
      <c r="S23" s="134"/>
    </row>
    <row r="24" spans="1:19" ht="17" thickBot="1" x14ac:dyDescent="0.25">
      <c r="A24" s="118" t="s">
        <v>76</v>
      </c>
      <c r="B24" s="163">
        <v>350</v>
      </c>
      <c r="C24" s="164"/>
      <c r="D24" s="120">
        <v>3</v>
      </c>
      <c r="E24" s="104">
        <f>B24*D24</f>
        <v>1050</v>
      </c>
      <c r="F24" s="95" t="s">
        <v>5</v>
      </c>
      <c r="G24" s="105">
        <f>IF(E$28=0,,E24/E$28)</f>
        <v>1.9831037295835224E-2</v>
      </c>
      <c r="H24" s="111">
        <v>120</v>
      </c>
      <c r="I24" s="95" t="s">
        <v>12</v>
      </c>
      <c r="J24" s="107">
        <f>E24*H24</f>
        <v>126000</v>
      </c>
      <c r="K24" s="95" t="s">
        <v>8</v>
      </c>
      <c r="L24" s="108">
        <v>30</v>
      </c>
      <c r="M24" s="109" t="s">
        <v>30</v>
      </c>
      <c r="N24" s="110">
        <f>L24*E24/1000</f>
        <v>31.5</v>
      </c>
      <c r="O24" s="95" t="s">
        <v>18</v>
      </c>
      <c r="P24" s="95"/>
      <c r="Q24" s="134"/>
      <c r="R24" s="134"/>
      <c r="S24" s="134"/>
    </row>
    <row r="25" spans="1:19" ht="17" thickBot="1" x14ac:dyDescent="0.25">
      <c r="A25" s="118" t="s">
        <v>77</v>
      </c>
      <c r="B25" s="163"/>
      <c r="C25" s="164"/>
      <c r="D25" s="120">
        <v>4</v>
      </c>
      <c r="E25" s="104">
        <f>B25*D25</f>
        <v>0</v>
      </c>
      <c r="F25" s="95" t="s">
        <v>5</v>
      </c>
      <c r="G25" s="105">
        <f>IF(E$28=0,,E25/E$28)</f>
        <v>0</v>
      </c>
      <c r="H25" s="111">
        <v>120</v>
      </c>
      <c r="I25" s="95" t="s">
        <v>12</v>
      </c>
      <c r="J25" s="107">
        <f>E25*H25</f>
        <v>0</v>
      </c>
      <c r="K25" s="95" t="s">
        <v>8</v>
      </c>
      <c r="L25" s="108">
        <v>30</v>
      </c>
      <c r="M25" s="109" t="s">
        <v>30</v>
      </c>
      <c r="N25" s="110">
        <f>L25*E25/1000</f>
        <v>0</v>
      </c>
      <c r="O25" s="95" t="s">
        <v>18</v>
      </c>
      <c r="P25" s="95"/>
      <c r="Q25" s="134"/>
      <c r="R25" s="134"/>
      <c r="S25" s="134"/>
    </row>
    <row r="26" spans="1:19" ht="17" thickBot="1" x14ac:dyDescent="0.25">
      <c r="A26" s="121" t="s">
        <v>96</v>
      </c>
      <c r="B26" s="121"/>
      <c r="C26" s="121"/>
      <c r="D26" s="89"/>
      <c r="E26" s="104">
        <f>D26*90</f>
        <v>0</v>
      </c>
      <c r="F26" s="95" t="s">
        <v>5</v>
      </c>
      <c r="G26" s="105">
        <f>IF(E$28=0,,E26/E$28)</f>
        <v>0</v>
      </c>
      <c r="H26" s="111">
        <v>120</v>
      </c>
      <c r="I26" s="95" t="s">
        <v>12</v>
      </c>
      <c r="J26" s="107">
        <f>E26*H26</f>
        <v>0</v>
      </c>
      <c r="K26" s="95" t="s">
        <v>8</v>
      </c>
      <c r="L26" s="108">
        <v>30</v>
      </c>
      <c r="M26" s="109" t="s">
        <v>30</v>
      </c>
      <c r="N26" s="110">
        <f>L26*E26/1000</f>
        <v>0</v>
      </c>
      <c r="O26" s="95" t="s">
        <v>18</v>
      </c>
      <c r="P26" s="95"/>
      <c r="Q26" s="134"/>
      <c r="R26" s="134"/>
      <c r="S26" s="134"/>
    </row>
    <row r="27" spans="1:19" x14ac:dyDescent="0.2">
      <c r="E27" s="162" t="s">
        <v>6</v>
      </c>
      <c r="F27" s="162"/>
      <c r="G27" s="103"/>
      <c r="H27" s="122"/>
      <c r="I27" s="122"/>
      <c r="J27" s="168" t="s">
        <v>37</v>
      </c>
      <c r="K27" s="168"/>
      <c r="L27" s="123"/>
      <c r="M27" s="123"/>
      <c r="N27" s="123" t="s">
        <v>47</v>
      </c>
      <c r="O27" s="123"/>
      <c r="P27" s="95"/>
      <c r="Q27" s="134"/>
      <c r="R27" s="134"/>
      <c r="S27" s="134"/>
    </row>
    <row r="28" spans="1:19" x14ac:dyDescent="0.2">
      <c r="E28" s="124">
        <f>SUM(E10:E26)</f>
        <v>52947.305999999997</v>
      </c>
      <c r="F28" s="125" t="s">
        <v>5</v>
      </c>
      <c r="G28" s="125"/>
      <c r="H28" s="126"/>
      <c r="I28" s="126"/>
      <c r="J28" s="107">
        <f>SUM(J10:J26)</f>
        <v>3187506.12</v>
      </c>
      <c r="K28" s="111" t="s">
        <v>8</v>
      </c>
      <c r="L28" s="127"/>
      <c r="M28" s="127"/>
      <c r="N28" s="110">
        <f>SUM(N10:N26)</f>
        <v>1128.6330599999999</v>
      </c>
      <c r="O28" s="128" t="s">
        <v>18</v>
      </c>
      <c r="P28" s="95"/>
      <c r="Q28" s="134"/>
      <c r="R28" s="134"/>
      <c r="S28" s="134"/>
    </row>
    <row r="29" spans="1:19" x14ac:dyDescent="0.2">
      <c r="Q29" s="134"/>
      <c r="R29" s="134"/>
      <c r="S29" s="134"/>
    </row>
    <row r="30" spans="1:19" x14ac:dyDescent="0.2">
      <c r="A30" s="156" t="s">
        <v>89</v>
      </c>
      <c r="B30" s="156"/>
      <c r="C30" s="156"/>
      <c r="D30" s="156"/>
      <c r="E30" s="129">
        <f>IF(E28=0,,E28/E7)</f>
        <v>1.0696425454545453</v>
      </c>
      <c r="H30" s="95"/>
      <c r="I30" s="130" t="s">
        <v>41</v>
      </c>
      <c r="J30" s="107">
        <f>IF(E28=0,,J28/E28)</f>
        <v>60.201478806117166</v>
      </c>
      <c r="K30" s="95" t="s">
        <v>22</v>
      </c>
      <c r="L30" s="94"/>
      <c r="M30" s="94"/>
      <c r="N30" s="131">
        <f>IF(E28=0,,N28/E28*1000)</f>
        <v>21.316156482069172</v>
      </c>
      <c r="O30" s="95" t="s">
        <v>30</v>
      </c>
      <c r="P30" s="95"/>
    </row>
    <row r="31" spans="1:19" x14ac:dyDescent="0.2">
      <c r="I31" s="130" t="s">
        <v>42</v>
      </c>
      <c r="J31" s="106">
        <f>IF(B4=0,,J28/B4)</f>
        <v>354.16734666666667</v>
      </c>
      <c r="K31" s="95" t="s">
        <v>21</v>
      </c>
      <c r="N31" s="132">
        <f>IF(A4=0,,N28/A4*1000)</f>
        <v>40.308323571428566</v>
      </c>
      <c r="O31" s="99" t="s">
        <v>40</v>
      </c>
      <c r="P31" s="95"/>
    </row>
  </sheetData>
  <sheetProtection sheet="1" objects="1" scenarios="1" selectLockedCells="1"/>
  <mergeCells count="29">
    <mergeCell ref="H3:I3"/>
    <mergeCell ref="A6:B6"/>
    <mergeCell ref="A1:B1"/>
    <mergeCell ref="C3:D3"/>
    <mergeCell ref="H6:J6"/>
    <mergeCell ref="A16:D16"/>
    <mergeCell ref="N9:O9"/>
    <mergeCell ref="E27:F27"/>
    <mergeCell ref="J27:K27"/>
    <mergeCell ref="E9:F9"/>
    <mergeCell ref="H9:I9"/>
    <mergeCell ref="J9:K9"/>
    <mergeCell ref="L9:M9"/>
    <mergeCell ref="A30:D30"/>
    <mergeCell ref="A7:C7"/>
    <mergeCell ref="C6:D6"/>
    <mergeCell ref="Q16:S19"/>
    <mergeCell ref="Q3:S6"/>
    <mergeCell ref="B23:C23"/>
    <mergeCell ref="B24:C24"/>
    <mergeCell ref="B25:C25"/>
    <mergeCell ref="A20:C20"/>
    <mergeCell ref="A15:C15"/>
    <mergeCell ref="A22:D22"/>
    <mergeCell ref="A10:C10"/>
    <mergeCell ref="A11:C11"/>
    <mergeCell ref="A12:C12"/>
    <mergeCell ref="A13:C13"/>
    <mergeCell ref="A14:C14"/>
  </mergeCells>
  <pageMargins left="0.7" right="0.7" top="0.75" bottom="0.75" header="0.3" footer="0.3"/>
  <pageSetup paperSize="9" scale="6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43F1E-1F23-2B49-A458-77C5B93F88FF}">
  <sheetPr>
    <pageSetUpPr fitToPage="1"/>
  </sheetPr>
  <dimension ref="A1:R25"/>
  <sheetViews>
    <sheetView zoomScale="90" zoomScaleNormal="90" workbookViewId="0">
      <selection activeCell="C18" sqref="C18"/>
    </sheetView>
  </sheetViews>
  <sheetFormatPr baseColWidth="10" defaultRowHeight="16" x14ac:dyDescent="0.2"/>
  <cols>
    <col min="1" max="1" width="22.6640625" customWidth="1"/>
    <col min="3" max="3" width="11.33203125" bestFit="1" customWidth="1"/>
    <col min="15" max="15" width="5.1640625" style="5" customWidth="1"/>
    <col min="16" max="16" width="7.5" customWidth="1"/>
    <col min="17" max="17" width="7.1640625" customWidth="1"/>
    <col min="18" max="18" width="6.6640625" customWidth="1"/>
  </cols>
  <sheetData>
    <row r="1" spans="1:18" ht="22" customHeight="1" thickBot="1" x14ac:dyDescent="0.3">
      <c r="A1" s="53" t="s">
        <v>0</v>
      </c>
      <c r="B1" s="136" t="str">
        <f>Annuel!C1</f>
        <v>Képa-1</v>
      </c>
      <c r="C1" s="72"/>
      <c r="D1" s="53" t="s">
        <v>99</v>
      </c>
      <c r="E1" s="73"/>
      <c r="F1" s="72"/>
      <c r="G1" s="72"/>
      <c r="H1" s="72"/>
      <c r="I1" s="72"/>
      <c r="J1" s="72"/>
      <c r="K1" s="72"/>
      <c r="L1" s="72"/>
      <c r="M1" s="72"/>
      <c r="N1" s="72"/>
      <c r="P1" s="177" t="s">
        <v>92</v>
      </c>
      <c r="Q1" s="177"/>
      <c r="R1" s="177"/>
    </row>
    <row r="2" spans="1:18" x14ac:dyDescent="0.2">
      <c r="P2" s="177"/>
      <c r="Q2" s="177"/>
      <c r="R2" s="177"/>
    </row>
    <row r="3" spans="1:18" ht="17" thickBot="1" x14ac:dyDescent="0.25">
      <c r="A3" s="48"/>
      <c r="B3" s="48" t="s">
        <v>54</v>
      </c>
      <c r="C3" s="48" t="s">
        <v>50</v>
      </c>
      <c r="D3" s="48" t="s">
        <v>51</v>
      </c>
      <c r="E3" s="48" t="s">
        <v>52</v>
      </c>
      <c r="F3" s="48" t="s">
        <v>53</v>
      </c>
      <c r="G3" s="48" t="s">
        <v>55</v>
      </c>
      <c r="H3" s="48" t="s">
        <v>56</v>
      </c>
      <c r="I3" s="48" t="s">
        <v>57</v>
      </c>
      <c r="J3" s="48" t="s">
        <v>58</v>
      </c>
      <c r="K3" s="48" t="s">
        <v>59</v>
      </c>
      <c r="L3" s="48" t="s">
        <v>60</v>
      </c>
      <c r="M3" s="48" t="s">
        <v>61</v>
      </c>
      <c r="N3" s="48" t="s">
        <v>62</v>
      </c>
      <c r="O3" s="56"/>
      <c r="P3" s="75"/>
      <c r="Q3" s="75"/>
      <c r="R3" s="75"/>
    </row>
    <row r="4" spans="1:18" ht="16" hidden="1" customHeight="1" x14ac:dyDescent="0.2">
      <c r="B4" s="43">
        <f>SUM(C4:N4)</f>
        <v>1</v>
      </c>
      <c r="C4" s="44">
        <v>0.14330557214277911</v>
      </c>
      <c r="D4" s="44">
        <v>0.10214144290548277</v>
      </c>
      <c r="E4" s="44">
        <v>0.12122940989589137</v>
      </c>
      <c r="F4" s="44">
        <v>7.5885023095514134E-2</v>
      </c>
      <c r="G4" s="44">
        <v>5.6291954355657058E-2</v>
      </c>
      <c r="H4" s="44">
        <v>4.5659035804561661E-2</v>
      </c>
      <c r="I4" s="44">
        <v>4.4639961144313282E-2</v>
      </c>
      <c r="J4" s="44">
        <v>3.5047463485468208E-2</v>
      </c>
      <c r="K4" s="44">
        <v>6.4795239734818807E-2</v>
      </c>
      <c r="L4" s="44">
        <v>8.3199572853580928E-2</v>
      </c>
      <c r="M4" s="44">
        <v>0.10647195576395392</v>
      </c>
      <c r="N4" s="44">
        <v>0.12133336881797874</v>
      </c>
      <c r="O4" s="57"/>
      <c r="P4" s="74"/>
      <c r="Q4" s="74"/>
      <c r="R4" s="74"/>
    </row>
    <row r="5" spans="1:18" ht="16" customHeight="1" x14ac:dyDescent="0.2">
      <c r="A5" s="47" t="s">
        <v>64</v>
      </c>
      <c r="B5" s="50">
        <f>Annuel!E10</f>
        <v>14016</v>
      </c>
      <c r="C5" s="8">
        <f t="shared" ref="C5:N5" si="0">$B5*C4</f>
        <v>2008.5708991531922</v>
      </c>
      <c r="D5" s="8">
        <f t="shared" si="0"/>
        <v>1431.6144637632465</v>
      </c>
      <c r="E5" s="8">
        <f t="shared" si="0"/>
        <v>1699.1514091008135</v>
      </c>
      <c r="F5" s="8">
        <f t="shared" si="0"/>
        <v>1063.6044837067261</v>
      </c>
      <c r="G5" s="8">
        <f t="shared" si="0"/>
        <v>788.98803224888934</v>
      </c>
      <c r="H5" s="8">
        <f t="shared" si="0"/>
        <v>639.95704583673626</v>
      </c>
      <c r="I5" s="8">
        <f t="shared" si="0"/>
        <v>625.67369539869492</v>
      </c>
      <c r="J5" s="8">
        <f t="shared" si="0"/>
        <v>491.22524821232241</v>
      </c>
      <c r="K5" s="8">
        <f t="shared" si="0"/>
        <v>908.17008012322037</v>
      </c>
      <c r="L5" s="8">
        <f t="shared" si="0"/>
        <v>1166.1252131157903</v>
      </c>
      <c r="M5" s="8">
        <f t="shared" si="0"/>
        <v>1492.3109319875782</v>
      </c>
      <c r="N5" s="8">
        <f t="shared" si="0"/>
        <v>1700.60849735279</v>
      </c>
      <c r="O5" s="58"/>
      <c r="P5" s="189" t="s">
        <v>103</v>
      </c>
      <c r="Q5" s="190"/>
      <c r="R5" s="191"/>
    </row>
    <row r="6" spans="1:18" ht="16" hidden="1" customHeight="1" x14ac:dyDescent="0.2">
      <c r="A6" s="47"/>
      <c r="B6" s="50">
        <f>SUM(C6:N6)</f>
        <v>0.99999999999999989</v>
      </c>
      <c r="C6" s="44">
        <f>31/365</f>
        <v>8.4931506849315067E-2</v>
      </c>
      <c r="D6" s="44">
        <f>28/365</f>
        <v>7.6712328767123292E-2</v>
      </c>
      <c r="E6" s="44">
        <f t="shared" ref="E6:N6" si="1">31/365</f>
        <v>8.4931506849315067E-2</v>
      </c>
      <c r="F6" s="44">
        <f>30/365</f>
        <v>8.2191780821917804E-2</v>
      </c>
      <c r="G6" s="44">
        <f t="shared" si="1"/>
        <v>8.4931506849315067E-2</v>
      </c>
      <c r="H6" s="44">
        <f>30/365</f>
        <v>8.2191780821917804E-2</v>
      </c>
      <c r="I6" s="44">
        <f t="shared" si="1"/>
        <v>8.4931506849315067E-2</v>
      </c>
      <c r="J6" s="44">
        <f t="shared" si="1"/>
        <v>8.4931506849315067E-2</v>
      </c>
      <c r="K6" s="44">
        <f>30/365</f>
        <v>8.2191780821917804E-2</v>
      </c>
      <c r="L6" s="44">
        <f t="shared" si="1"/>
        <v>8.4931506849315067E-2</v>
      </c>
      <c r="M6" s="44">
        <f>30/365</f>
        <v>8.2191780821917804E-2</v>
      </c>
      <c r="N6" s="44">
        <f t="shared" si="1"/>
        <v>8.4931506849315067E-2</v>
      </c>
      <c r="O6" s="57"/>
      <c r="P6" s="183"/>
      <c r="Q6" s="184"/>
      <c r="R6" s="185"/>
    </row>
    <row r="7" spans="1:18" ht="16" customHeight="1" x14ac:dyDescent="0.2">
      <c r="A7" s="47" t="s">
        <v>65</v>
      </c>
      <c r="B7" s="50">
        <f>Annuel!E11</f>
        <v>0</v>
      </c>
      <c r="C7" s="8">
        <f t="shared" ref="C7:N7" si="2">$B7*C6</f>
        <v>0</v>
      </c>
      <c r="D7" s="8">
        <f t="shared" si="2"/>
        <v>0</v>
      </c>
      <c r="E7" s="8">
        <f t="shared" si="2"/>
        <v>0</v>
      </c>
      <c r="F7" s="8">
        <f t="shared" si="2"/>
        <v>0</v>
      </c>
      <c r="G7" s="8">
        <f t="shared" si="2"/>
        <v>0</v>
      </c>
      <c r="H7" s="8">
        <f t="shared" si="2"/>
        <v>0</v>
      </c>
      <c r="I7" s="8">
        <f t="shared" si="2"/>
        <v>0</v>
      </c>
      <c r="J7" s="8">
        <f t="shared" si="2"/>
        <v>0</v>
      </c>
      <c r="K7" s="8">
        <f t="shared" si="2"/>
        <v>0</v>
      </c>
      <c r="L7" s="8">
        <f t="shared" si="2"/>
        <v>0</v>
      </c>
      <c r="M7" s="8">
        <f t="shared" si="2"/>
        <v>0</v>
      </c>
      <c r="N7" s="8">
        <f t="shared" si="2"/>
        <v>0</v>
      </c>
      <c r="O7" s="58"/>
      <c r="P7" s="183"/>
      <c r="Q7" s="184"/>
      <c r="R7" s="185"/>
    </row>
    <row r="8" spans="1:18" ht="16" hidden="1" customHeight="1" x14ac:dyDescent="0.2">
      <c r="A8" s="47"/>
      <c r="B8" s="50">
        <f>SUM(C8:N8)</f>
        <v>1</v>
      </c>
      <c r="C8" s="44">
        <v>1.7763576574518991E-2</v>
      </c>
      <c r="D8" s="44">
        <v>5.8217788411433789E-2</v>
      </c>
      <c r="E8" s="44">
        <v>6.6419944165914596E-2</v>
      </c>
      <c r="F8" s="44">
        <v>9.9115479878220489E-2</v>
      </c>
      <c r="G8" s="44">
        <v>0.13747646786213993</v>
      </c>
      <c r="H8" s="44">
        <v>0.11922949849106056</v>
      </c>
      <c r="I8" s="44">
        <v>0.13784677335308296</v>
      </c>
      <c r="J8" s="44">
        <v>0.11252852128369614</v>
      </c>
      <c r="K8" s="44">
        <v>0.1055215431317201</v>
      </c>
      <c r="L8" s="44">
        <v>8.1948383405879205E-2</v>
      </c>
      <c r="M8" s="44">
        <v>5.0995722638969884E-2</v>
      </c>
      <c r="N8" s="44">
        <v>1.2936300803363349E-2</v>
      </c>
      <c r="O8" s="57"/>
      <c r="P8" s="183"/>
      <c r="Q8" s="184"/>
      <c r="R8" s="185"/>
    </row>
    <row r="9" spans="1:18" s="70" customFormat="1" ht="16" customHeight="1" x14ac:dyDescent="0.2">
      <c r="A9" s="66" t="s">
        <v>73</v>
      </c>
      <c r="B9" s="67">
        <f>Annuel!E12</f>
        <v>0</v>
      </c>
      <c r="C9" s="68">
        <f>$B9*C4</f>
        <v>0</v>
      </c>
      <c r="D9" s="68">
        <f t="shared" ref="D9:N9" si="3">$B9*D4</f>
        <v>0</v>
      </c>
      <c r="E9" s="68">
        <f t="shared" si="3"/>
        <v>0</v>
      </c>
      <c r="F9" s="68">
        <f t="shared" si="3"/>
        <v>0</v>
      </c>
      <c r="G9" s="68">
        <f t="shared" si="3"/>
        <v>0</v>
      </c>
      <c r="H9" s="68">
        <f t="shared" si="3"/>
        <v>0</v>
      </c>
      <c r="I9" s="68">
        <f t="shared" si="3"/>
        <v>0</v>
      </c>
      <c r="J9" s="68">
        <f t="shared" si="3"/>
        <v>0</v>
      </c>
      <c r="K9" s="68">
        <f t="shared" si="3"/>
        <v>0</v>
      </c>
      <c r="L9" s="68">
        <f t="shared" si="3"/>
        <v>0</v>
      </c>
      <c r="M9" s="68">
        <f t="shared" si="3"/>
        <v>0</v>
      </c>
      <c r="N9" s="68">
        <f t="shared" si="3"/>
        <v>0</v>
      </c>
      <c r="O9" s="69"/>
      <c r="P9" s="183"/>
      <c r="Q9" s="184"/>
      <c r="R9" s="185"/>
    </row>
    <row r="10" spans="1:18" x14ac:dyDescent="0.2">
      <c r="A10" s="47" t="s">
        <v>66</v>
      </c>
      <c r="B10" s="50">
        <f>Annuel!E13</f>
        <v>0</v>
      </c>
      <c r="C10" s="8">
        <f t="shared" ref="C10:N10" si="4">$B10*C8</f>
        <v>0</v>
      </c>
      <c r="D10" s="8">
        <f t="shared" si="4"/>
        <v>0</v>
      </c>
      <c r="E10" s="8">
        <f t="shared" si="4"/>
        <v>0</v>
      </c>
      <c r="F10" s="8">
        <f t="shared" si="4"/>
        <v>0</v>
      </c>
      <c r="G10" s="8">
        <f t="shared" si="4"/>
        <v>0</v>
      </c>
      <c r="H10" s="8">
        <f t="shared" si="4"/>
        <v>0</v>
      </c>
      <c r="I10" s="8">
        <f t="shared" si="4"/>
        <v>0</v>
      </c>
      <c r="J10" s="8">
        <f t="shared" si="4"/>
        <v>0</v>
      </c>
      <c r="K10" s="8">
        <f t="shared" si="4"/>
        <v>0</v>
      </c>
      <c r="L10" s="8">
        <f t="shared" si="4"/>
        <v>0</v>
      </c>
      <c r="M10" s="8">
        <f t="shared" si="4"/>
        <v>0</v>
      </c>
      <c r="N10" s="8">
        <f t="shared" si="4"/>
        <v>0</v>
      </c>
      <c r="O10" s="58"/>
      <c r="P10" s="183"/>
      <c r="Q10" s="184"/>
      <c r="R10" s="185"/>
    </row>
    <row r="11" spans="1:18" ht="16" customHeight="1" x14ac:dyDescent="0.2">
      <c r="A11" s="47" t="s">
        <v>67</v>
      </c>
      <c r="B11" s="50">
        <f>Annuel!E14</f>
        <v>26280</v>
      </c>
      <c r="C11" s="8">
        <f>$B11*C8</f>
        <v>466.82679237835907</v>
      </c>
      <c r="D11" s="8">
        <f t="shared" ref="D11:N11" si="5">$B11*D8</f>
        <v>1529.96347945248</v>
      </c>
      <c r="E11" s="8">
        <f t="shared" si="5"/>
        <v>1745.5161326802356</v>
      </c>
      <c r="F11" s="8">
        <f t="shared" si="5"/>
        <v>2604.7548111996343</v>
      </c>
      <c r="G11" s="8">
        <f t="shared" si="5"/>
        <v>3612.8815754170373</v>
      </c>
      <c r="H11" s="8">
        <f t="shared" si="5"/>
        <v>3133.3512203450714</v>
      </c>
      <c r="I11" s="8">
        <f t="shared" si="5"/>
        <v>3622.61320371902</v>
      </c>
      <c r="J11" s="8">
        <f t="shared" si="5"/>
        <v>2957.2495393355348</v>
      </c>
      <c r="K11" s="8">
        <f t="shared" si="5"/>
        <v>2773.1061535016042</v>
      </c>
      <c r="L11" s="8">
        <f t="shared" si="5"/>
        <v>2153.6035159065054</v>
      </c>
      <c r="M11" s="8">
        <f t="shared" si="5"/>
        <v>1340.1675909521286</v>
      </c>
      <c r="N11" s="8">
        <f t="shared" si="5"/>
        <v>339.96598511238881</v>
      </c>
      <c r="O11" s="58"/>
      <c r="P11" s="183"/>
      <c r="Q11" s="184"/>
      <c r="R11" s="185"/>
    </row>
    <row r="12" spans="1:18" x14ac:dyDescent="0.2">
      <c r="A12" s="47" t="s">
        <v>16</v>
      </c>
      <c r="B12" s="50">
        <f>Annuel!E15</f>
        <v>0</v>
      </c>
      <c r="C12" s="8">
        <f t="shared" ref="C12:N12" si="6">$B12*C6</f>
        <v>0</v>
      </c>
      <c r="D12" s="8">
        <f t="shared" si="6"/>
        <v>0</v>
      </c>
      <c r="E12" s="8">
        <f t="shared" si="6"/>
        <v>0</v>
      </c>
      <c r="F12" s="8">
        <f t="shared" si="6"/>
        <v>0</v>
      </c>
      <c r="G12" s="8">
        <f t="shared" si="6"/>
        <v>0</v>
      </c>
      <c r="H12" s="8">
        <f t="shared" si="6"/>
        <v>0</v>
      </c>
      <c r="I12" s="8">
        <f t="shared" si="6"/>
        <v>0</v>
      </c>
      <c r="J12" s="8">
        <f t="shared" si="6"/>
        <v>0</v>
      </c>
      <c r="K12" s="8">
        <f t="shared" si="6"/>
        <v>0</v>
      </c>
      <c r="L12" s="8">
        <f t="shared" si="6"/>
        <v>0</v>
      </c>
      <c r="M12" s="8">
        <f t="shared" si="6"/>
        <v>0</v>
      </c>
      <c r="N12" s="8">
        <f t="shared" si="6"/>
        <v>0</v>
      </c>
      <c r="O12" s="58"/>
      <c r="P12" s="183" t="s">
        <v>101</v>
      </c>
      <c r="Q12" s="184"/>
      <c r="R12" s="185"/>
    </row>
    <row r="13" spans="1:18" hidden="1" x14ac:dyDescent="0.2">
      <c r="A13" s="47"/>
      <c r="B13" s="50"/>
      <c r="C13" s="44">
        <v>0.20174317257408483</v>
      </c>
      <c r="D13" s="44">
        <v>0.18547356188262637</v>
      </c>
      <c r="E13" s="44">
        <v>0.14049970947123769</v>
      </c>
      <c r="F13" s="44">
        <v>9.4131319000581082E-2</v>
      </c>
      <c r="G13" s="44">
        <v>6.8448576409064502E-2</v>
      </c>
      <c r="H13" s="44">
        <v>3.137710633352702E-2</v>
      </c>
      <c r="I13" s="44">
        <v>1.801278326554329E-2</v>
      </c>
      <c r="J13" s="44">
        <v>1.0807669959325975E-2</v>
      </c>
      <c r="K13" s="44">
        <v>1.3945380592678676E-2</v>
      </c>
      <c r="L13" s="44">
        <v>3.2423009877977922E-2</v>
      </c>
      <c r="M13" s="44">
        <v>6.6240557815223713E-2</v>
      </c>
      <c r="N13" s="44">
        <v>0.136897152818129</v>
      </c>
      <c r="O13" s="57"/>
      <c r="P13" s="183"/>
      <c r="Q13" s="184"/>
      <c r="R13" s="185"/>
    </row>
    <row r="14" spans="1:18" ht="17" thickBot="1" x14ac:dyDescent="0.25">
      <c r="A14" s="47" t="s">
        <v>68</v>
      </c>
      <c r="B14" s="50">
        <f>Annuel!E18+Annuel!E19</f>
        <v>11601.305999999999</v>
      </c>
      <c r="C14" s="8">
        <f t="shared" ref="C14:H14" si="7">$B14*C13</f>
        <v>2340.4842784427656</v>
      </c>
      <c r="D14" s="8">
        <f t="shared" si="7"/>
        <v>2151.7355463102845</v>
      </c>
      <c r="E14" s="8">
        <f t="shared" si="7"/>
        <v>1629.9801224869263</v>
      </c>
      <c r="F14" s="8">
        <f t="shared" si="7"/>
        <v>1092.0462359093551</v>
      </c>
      <c r="G14" s="8">
        <f t="shared" si="7"/>
        <v>794.09288018593838</v>
      </c>
      <c r="H14" s="8">
        <f t="shared" si="7"/>
        <v>364.01541196978496</v>
      </c>
      <c r="I14" s="8">
        <f t="shared" ref="I14:N14" si="8">$B14*I13</f>
        <v>208.97181057524693</v>
      </c>
      <c r="J14" s="8">
        <f t="shared" si="8"/>
        <v>125.38308634514817</v>
      </c>
      <c r="K14" s="8">
        <f t="shared" si="8"/>
        <v>161.78462754212666</v>
      </c>
      <c r="L14" s="8">
        <f t="shared" si="8"/>
        <v>376.14925903544452</v>
      </c>
      <c r="M14" s="8">
        <f t="shared" si="8"/>
        <v>768.47698082510169</v>
      </c>
      <c r="N14" s="8">
        <f t="shared" si="8"/>
        <v>1588.1857603718768</v>
      </c>
      <c r="O14" s="58"/>
      <c r="P14" s="186"/>
      <c r="Q14" s="187"/>
      <c r="R14" s="188"/>
    </row>
    <row r="15" spans="1:18" ht="17" thickBot="1" x14ac:dyDescent="0.25">
      <c r="A15" s="47" t="s">
        <v>105</v>
      </c>
      <c r="B15" s="52"/>
      <c r="C15" s="135"/>
      <c r="D15" s="135"/>
      <c r="E15" s="135"/>
      <c r="F15" s="135">
        <v>-858</v>
      </c>
      <c r="G15" s="135">
        <v>-794</v>
      </c>
      <c r="H15" s="135">
        <v>-364</v>
      </c>
      <c r="I15" s="135">
        <v>-209</v>
      </c>
      <c r="J15" s="135">
        <v>-105</v>
      </c>
      <c r="K15" s="135"/>
      <c r="L15" s="135">
        <v>80</v>
      </c>
      <c r="M15" s="135">
        <v>1115</v>
      </c>
      <c r="N15" s="135">
        <v>1135</v>
      </c>
      <c r="O15" s="59"/>
      <c r="P15" s="76" t="s">
        <v>82</v>
      </c>
      <c r="Q15" s="77" t="s">
        <v>83</v>
      </c>
      <c r="R15" s="78" t="s">
        <v>84</v>
      </c>
    </row>
    <row r="16" spans="1:18" ht="17" thickBot="1" x14ac:dyDescent="0.25">
      <c r="A16" s="49" t="s">
        <v>81</v>
      </c>
      <c r="B16" s="54">
        <f>B14*0.2</f>
        <v>2320.2611999999999</v>
      </c>
      <c r="C16" s="55">
        <f>-C15</f>
        <v>0</v>
      </c>
      <c r="D16" s="55">
        <f>C16-D15</f>
        <v>0</v>
      </c>
      <c r="E16" s="55">
        <f t="shared" ref="E16:N16" si="9">D16-E15</f>
        <v>0</v>
      </c>
      <c r="F16" s="55">
        <f t="shared" si="9"/>
        <v>858</v>
      </c>
      <c r="G16" s="55">
        <f t="shared" si="9"/>
        <v>1652</v>
      </c>
      <c r="H16" s="55">
        <f t="shared" si="9"/>
        <v>2016</v>
      </c>
      <c r="I16" s="55">
        <f t="shared" si="9"/>
        <v>2225</v>
      </c>
      <c r="J16" s="55">
        <f t="shared" si="9"/>
        <v>2330</v>
      </c>
      <c r="K16" s="55">
        <f t="shared" si="9"/>
        <v>2330</v>
      </c>
      <c r="L16" s="55">
        <f t="shared" si="9"/>
        <v>2250</v>
      </c>
      <c r="M16" s="55">
        <f t="shared" si="9"/>
        <v>1135</v>
      </c>
      <c r="N16" s="55">
        <f t="shared" si="9"/>
        <v>0</v>
      </c>
      <c r="O16" s="60"/>
      <c r="P16" s="79">
        <f>MIN(C16:N16)</f>
        <v>0</v>
      </c>
      <c r="Q16" s="80">
        <f>MAX(C16:N16)</f>
        <v>2330</v>
      </c>
      <c r="R16" s="81">
        <f>Q16-P16</f>
        <v>2330</v>
      </c>
    </row>
    <row r="17" spans="1:18" ht="17" thickBot="1" x14ac:dyDescent="0.25">
      <c r="A17" s="47" t="s">
        <v>13</v>
      </c>
      <c r="B17" s="50">
        <f>Annuel!E20</f>
        <v>0</v>
      </c>
      <c r="C17" s="8">
        <f t="shared" ref="C17:N17" si="10">$B17*C6</f>
        <v>0</v>
      </c>
      <c r="D17" s="8">
        <f t="shared" si="10"/>
        <v>0</v>
      </c>
      <c r="E17" s="8">
        <f t="shared" si="10"/>
        <v>0</v>
      </c>
      <c r="F17" s="8">
        <f t="shared" si="10"/>
        <v>0</v>
      </c>
      <c r="G17" s="8">
        <f t="shared" si="10"/>
        <v>0</v>
      </c>
      <c r="H17" s="8">
        <f t="shared" si="10"/>
        <v>0</v>
      </c>
      <c r="I17" s="8">
        <f t="shared" si="10"/>
        <v>0</v>
      </c>
      <c r="J17" s="8">
        <f t="shared" si="10"/>
        <v>0</v>
      </c>
      <c r="K17" s="8">
        <f t="shared" si="10"/>
        <v>0</v>
      </c>
      <c r="L17" s="8">
        <f t="shared" si="10"/>
        <v>0</v>
      </c>
      <c r="M17" s="8">
        <f t="shared" si="10"/>
        <v>0</v>
      </c>
      <c r="N17" s="8">
        <f t="shared" si="10"/>
        <v>0</v>
      </c>
      <c r="O17" s="63"/>
      <c r="P17" s="180" t="s">
        <v>97</v>
      </c>
      <c r="Q17" s="181"/>
      <c r="R17" s="182"/>
    </row>
    <row r="18" spans="1:18" ht="17" thickBot="1" x14ac:dyDescent="0.25">
      <c r="A18" s="47" t="s">
        <v>69</v>
      </c>
      <c r="B18" s="50">
        <f>Annuel!E24+Annuel!E25</f>
        <v>1050</v>
      </c>
      <c r="C18" s="85">
        <v>243</v>
      </c>
      <c r="D18" s="85">
        <v>155</v>
      </c>
      <c r="E18" s="85">
        <v>328</v>
      </c>
      <c r="F18" s="85"/>
      <c r="G18" s="85"/>
      <c r="H18" s="85"/>
      <c r="I18" s="85"/>
      <c r="J18" s="85"/>
      <c r="K18" s="85"/>
      <c r="L18" s="85"/>
      <c r="M18" s="85"/>
      <c r="N18" s="85">
        <v>275</v>
      </c>
      <c r="O18" s="61"/>
      <c r="P18" s="178">
        <f>SUM(C18:N18)</f>
        <v>1001</v>
      </c>
      <c r="Q18" s="179"/>
      <c r="R18" s="71"/>
    </row>
    <row r="19" spans="1:18" ht="17" thickBot="1" x14ac:dyDescent="0.25">
      <c r="A19" s="47" t="s">
        <v>27</v>
      </c>
      <c r="B19" s="50">
        <f>Annuel!E26</f>
        <v>0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61"/>
      <c r="P19" s="178">
        <f>SUM(C19:N19)</f>
        <v>0</v>
      </c>
      <c r="Q19" s="179"/>
      <c r="R19" s="65"/>
    </row>
    <row r="20" spans="1:18" ht="16" customHeight="1" x14ac:dyDescent="0.2">
      <c r="O20" s="64"/>
      <c r="P20" s="171" t="s">
        <v>100</v>
      </c>
      <c r="Q20" s="172"/>
      <c r="R20" s="173"/>
    </row>
    <row r="21" spans="1:18" x14ac:dyDescent="0.2">
      <c r="A21" s="47" t="s">
        <v>70</v>
      </c>
      <c r="B21" s="50">
        <f>+B5+B7+B9+B10+B11+B14+B17+B12+B18+B19</f>
        <v>52947.305999999997</v>
      </c>
      <c r="C21" s="51">
        <f t="shared" ref="C21:N21" si="11">C5+C7+C9+C10+C11+C14+C15+C17+C12+C18+C19</f>
        <v>5058.8819699743162</v>
      </c>
      <c r="D21" s="51">
        <f t="shared" si="11"/>
        <v>5268.3134895260109</v>
      </c>
      <c r="E21" s="51">
        <f t="shared" si="11"/>
        <v>5402.6476642679754</v>
      </c>
      <c r="F21" s="51">
        <f t="shared" si="11"/>
        <v>3902.4055308157158</v>
      </c>
      <c r="G21" s="51">
        <f t="shared" si="11"/>
        <v>4401.9624878518653</v>
      </c>
      <c r="H21" s="51">
        <f t="shared" si="11"/>
        <v>3773.3236781515925</v>
      </c>
      <c r="I21" s="51">
        <f t="shared" si="11"/>
        <v>4248.2587096929619</v>
      </c>
      <c r="J21" s="51">
        <f t="shared" si="11"/>
        <v>3468.857873893005</v>
      </c>
      <c r="K21" s="51">
        <f t="shared" si="11"/>
        <v>3843.0608611669513</v>
      </c>
      <c r="L21" s="51">
        <f t="shared" si="11"/>
        <v>3775.8779880577404</v>
      </c>
      <c r="M21" s="51">
        <f t="shared" si="11"/>
        <v>4715.9555037648079</v>
      </c>
      <c r="N21" s="51">
        <f t="shared" si="11"/>
        <v>5038.7602428370556</v>
      </c>
      <c r="O21" s="63"/>
      <c r="P21" s="171"/>
      <c r="Q21" s="172"/>
      <c r="R21" s="173"/>
    </row>
    <row r="22" spans="1:18" x14ac:dyDescent="0.2">
      <c r="P22" s="171"/>
      <c r="Q22" s="172"/>
      <c r="R22" s="173"/>
    </row>
    <row r="23" spans="1:18" ht="16" hidden="1" customHeight="1" x14ac:dyDescent="0.2">
      <c r="B23" s="43">
        <f>SUM(C23:N23)</f>
        <v>1</v>
      </c>
      <c r="C23" s="44">
        <v>0.10219169373077817</v>
      </c>
      <c r="D23" s="44">
        <v>0.10642928310925355</v>
      </c>
      <c r="E23" s="44">
        <v>0.1091366850683254</v>
      </c>
      <c r="F23" s="44">
        <v>7.8841490150725183E-2</v>
      </c>
      <c r="G23" s="44">
        <v>6.8587642466905699E-2</v>
      </c>
      <c r="H23" s="44">
        <v>6.4750094956228396E-2</v>
      </c>
      <c r="I23" s="44">
        <v>6.6064642286044112E-2</v>
      </c>
      <c r="J23" s="44">
        <v>6.5240801402735998E-2</v>
      </c>
      <c r="K23" s="44">
        <v>6.5409550627205396E-2</v>
      </c>
      <c r="L23" s="44">
        <v>7.6273113149772739E-2</v>
      </c>
      <c r="M23" s="44">
        <v>9.5272240770387082E-2</v>
      </c>
      <c r="N23" s="44">
        <v>0.10180276228163825</v>
      </c>
      <c r="O23" s="57"/>
      <c r="P23" s="171"/>
      <c r="Q23" s="172"/>
      <c r="R23" s="173"/>
    </row>
    <row r="24" spans="1:18" x14ac:dyDescent="0.2">
      <c r="A24" s="47" t="s">
        <v>63</v>
      </c>
      <c r="B24" s="50">
        <f>Annuel!E7</f>
        <v>49500</v>
      </c>
      <c r="C24" s="51">
        <f t="shared" ref="C24:N24" si="12">$B24*C23</f>
        <v>5058.4888396735196</v>
      </c>
      <c r="D24" s="51">
        <f t="shared" si="12"/>
        <v>5268.2495139080511</v>
      </c>
      <c r="E24" s="51">
        <f t="shared" si="12"/>
        <v>5402.2659108821072</v>
      </c>
      <c r="F24" s="51">
        <f t="shared" si="12"/>
        <v>3902.6537624608964</v>
      </c>
      <c r="G24" s="51">
        <f t="shared" si="12"/>
        <v>3395.088302111832</v>
      </c>
      <c r="H24" s="51">
        <f t="shared" si="12"/>
        <v>3205.1297003333057</v>
      </c>
      <c r="I24" s="51">
        <f t="shared" si="12"/>
        <v>3270.1997931591836</v>
      </c>
      <c r="J24" s="51">
        <f t="shared" si="12"/>
        <v>3229.4196694354318</v>
      </c>
      <c r="K24" s="51">
        <f t="shared" si="12"/>
        <v>3237.7727560466669</v>
      </c>
      <c r="L24" s="51">
        <f t="shared" si="12"/>
        <v>3775.5191009137507</v>
      </c>
      <c r="M24" s="51">
        <f t="shared" si="12"/>
        <v>4715.9759181341606</v>
      </c>
      <c r="N24" s="51">
        <f t="shared" si="12"/>
        <v>5039.2367329410936</v>
      </c>
      <c r="O24" s="58"/>
      <c r="P24" s="171"/>
      <c r="Q24" s="172"/>
      <c r="R24" s="173"/>
    </row>
    <row r="25" spans="1:18" s="45" customFormat="1" ht="17" thickBot="1" x14ac:dyDescent="0.25">
      <c r="A25" s="45" t="s">
        <v>71</v>
      </c>
      <c r="C25" s="46">
        <f t="shared" ref="C25:N25" si="13">C21-C24</f>
        <v>0.39313030079665623</v>
      </c>
      <c r="D25" s="46">
        <f t="shared" si="13"/>
        <v>6.3975617959840747E-2</v>
      </c>
      <c r="E25" s="46">
        <f t="shared" si="13"/>
        <v>0.38175338586825092</v>
      </c>
      <c r="F25" s="46">
        <f t="shared" si="13"/>
        <v>-0.24823164518056728</v>
      </c>
      <c r="G25" s="46">
        <f t="shared" si="13"/>
        <v>1006.8741857400332</v>
      </c>
      <c r="H25" s="46">
        <f t="shared" si="13"/>
        <v>568.19397781828684</v>
      </c>
      <c r="I25" s="46">
        <f t="shared" si="13"/>
        <v>978.0589165337783</v>
      </c>
      <c r="J25" s="46">
        <f t="shared" si="13"/>
        <v>239.43820445757319</v>
      </c>
      <c r="K25" s="46">
        <f t="shared" si="13"/>
        <v>605.2881051202844</v>
      </c>
      <c r="L25" s="46">
        <f t="shared" si="13"/>
        <v>0.35888714398970478</v>
      </c>
      <c r="M25" s="46">
        <f t="shared" si="13"/>
        <v>-2.0414369352693029E-2</v>
      </c>
      <c r="N25" s="46">
        <f t="shared" si="13"/>
        <v>-0.47649010403802095</v>
      </c>
      <c r="O25" s="62"/>
      <c r="P25" s="174"/>
      <c r="Q25" s="175"/>
      <c r="R25" s="176"/>
    </row>
  </sheetData>
  <sheetProtection sheet="1" selectLockedCells="1"/>
  <mergeCells count="7">
    <mergeCell ref="P20:R25"/>
    <mergeCell ref="P1:R2"/>
    <mergeCell ref="P18:Q18"/>
    <mergeCell ref="P19:Q19"/>
    <mergeCell ref="P17:R17"/>
    <mergeCell ref="P12:R14"/>
    <mergeCell ref="P5:R11"/>
  </mergeCells>
  <pageMargins left="0.7" right="0.7" top="0.75" bottom="0.75" header="0.3" footer="0.3"/>
  <pageSetup paperSize="9" scale="61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NérifsV2 (2)</vt:lpstr>
      <vt:lpstr>Annuel</vt:lpstr>
      <vt:lpstr>Mensuel </vt:lpstr>
    </vt:vector>
  </TitlesOfParts>
  <Company>ENS Rennes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grenier</dc:creator>
  <cp:lastModifiedBy>Grenier Damien</cp:lastModifiedBy>
  <cp:lastPrinted>2020-02-24T17:19:51Z</cp:lastPrinted>
  <dcterms:created xsi:type="dcterms:W3CDTF">2016-05-10T15:58:46Z</dcterms:created>
  <dcterms:modified xsi:type="dcterms:W3CDTF">2020-02-27T09:02:44Z</dcterms:modified>
</cp:coreProperties>
</file>